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еребренникова\Desktop\Серебренникова З.И\РАСКРЫТИЕ ИНФОРМАЦИИ\Раскрытие информации по аэроп. деят\пост. 938\2019\"/>
    </mc:Choice>
  </mc:AlternateContent>
  <xr:revisionPtr revIDLastSave="0" documentId="13_ncr:1_{ECA31D0A-170B-4C17-BEAE-5C164A16252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2018" sheetId="3" r:id="rId1"/>
    <sheet name="расходы 2018" sheetId="1" r:id="rId2"/>
    <sheet name="Д и Р по бюджету 2019" sheetId="4" r:id="rId3"/>
    <sheet name="расшиф расходов 2019" sheetId="5" r:id="rId4"/>
    <sheet name="доходы и расх прогноз 2020" sheetId="6" r:id="rId5"/>
    <sheet name="расш расходов прогноз 2020" sheetId="7" r:id="rId6"/>
    <sheet name="дох расх прогноз 2021" sheetId="8" r:id="rId7"/>
    <sheet name="расш расх прогноз 2021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5" l="1"/>
  <c r="E17" i="5"/>
  <c r="B12" i="5"/>
  <c r="B14" i="5" s="1"/>
  <c r="E8" i="5"/>
  <c r="D10" i="5"/>
  <c r="B11" i="5"/>
  <c r="L12" i="5"/>
  <c r="J12" i="5"/>
  <c r="D14" i="5"/>
  <c r="D11" i="4" l="1"/>
  <c r="D10" i="4"/>
  <c r="H11" i="1" l="1"/>
  <c r="D11" i="1"/>
  <c r="F11" i="1"/>
  <c r="E11" i="1"/>
  <c r="H10" i="1"/>
  <c r="H9" i="1"/>
  <c r="H8" i="1"/>
  <c r="H7" i="1"/>
  <c r="G11" i="1"/>
  <c r="G10" i="1"/>
  <c r="G9" i="1"/>
  <c r="F10" i="1"/>
  <c r="F9" i="1"/>
  <c r="E10" i="1"/>
  <c r="E9" i="1"/>
  <c r="D10" i="1"/>
  <c r="D9" i="1"/>
  <c r="D8" i="1"/>
  <c r="D7" i="1"/>
  <c r="D16" i="3"/>
  <c r="D15" i="3"/>
  <c r="C14" i="9" l="1"/>
  <c r="D14" i="9"/>
  <c r="E14" i="9"/>
  <c r="E8" i="9" s="1"/>
  <c r="F14" i="9"/>
  <c r="G14" i="9"/>
  <c r="G9" i="9" s="1"/>
  <c r="H14" i="9"/>
  <c r="I14" i="9"/>
  <c r="K14" i="9"/>
  <c r="I15" i="9"/>
  <c r="K15" i="9"/>
  <c r="E11" i="9"/>
  <c r="G10" i="9"/>
  <c r="E7" i="9" l="1"/>
  <c r="E10" i="9"/>
  <c r="E9" i="9"/>
  <c r="G7" i="9"/>
  <c r="G11" i="9"/>
  <c r="G8" i="9"/>
  <c r="B11" i="9"/>
  <c r="B10" i="9"/>
  <c r="B9" i="9"/>
  <c r="B8" i="9"/>
  <c r="B7" i="9"/>
  <c r="B6" i="9" l="1"/>
  <c r="F11" i="9"/>
  <c r="F10" i="9"/>
  <c r="F8" i="9"/>
  <c r="G6" i="9"/>
  <c r="G15" i="9" s="1"/>
  <c r="H14" i="7"/>
  <c r="G14" i="7"/>
  <c r="G10" i="7" s="1"/>
  <c r="F14" i="7"/>
  <c r="E14" i="7"/>
  <c r="E10" i="7" s="1"/>
  <c r="F10" i="7" s="1"/>
  <c r="D14" i="7"/>
  <c r="D10" i="7" s="1"/>
  <c r="D11" i="7"/>
  <c r="D8" i="7"/>
  <c r="D7" i="7"/>
  <c r="B10" i="7"/>
  <c r="B9" i="7"/>
  <c r="B8" i="7"/>
  <c r="B7" i="7"/>
  <c r="K14" i="7"/>
  <c r="I14" i="7"/>
  <c r="C14" i="7"/>
  <c r="G11" i="7"/>
  <c r="G9" i="7"/>
  <c r="E9" i="7"/>
  <c r="F9" i="7" s="1"/>
  <c r="G8" i="7"/>
  <c r="G7" i="7"/>
  <c r="G11" i="5"/>
  <c r="G10" i="5"/>
  <c r="G9" i="5"/>
  <c r="G8" i="5"/>
  <c r="G7" i="5"/>
  <c r="E11" i="5"/>
  <c r="F11" i="5" s="1"/>
  <c r="E10" i="5"/>
  <c r="E9" i="5"/>
  <c r="F9" i="5" s="1"/>
  <c r="F8" i="5"/>
  <c r="E7" i="5"/>
  <c r="F7" i="5" s="1"/>
  <c r="D11" i="5"/>
  <c r="C14" i="5"/>
  <c r="I14" i="5"/>
  <c r="K14" i="5"/>
  <c r="L14" i="5"/>
  <c r="B6" i="5"/>
  <c r="J14" i="5"/>
  <c r="D16" i="4"/>
  <c r="D13" i="4"/>
  <c r="G6" i="1"/>
  <c r="H6" i="1"/>
  <c r="B11" i="1"/>
  <c r="B15" i="1" s="1"/>
  <c r="B16" i="1" s="1"/>
  <c r="B8" i="1"/>
  <c r="D6" i="1"/>
  <c r="J12" i="1"/>
  <c r="B12" i="1" s="1"/>
  <c r="L12" i="1"/>
  <c r="F10" i="5" l="1"/>
  <c r="H10" i="5"/>
  <c r="D9" i="5"/>
  <c r="H9" i="5" s="1"/>
  <c r="B7" i="1"/>
  <c r="E7" i="7"/>
  <c r="F7" i="7" s="1"/>
  <c r="H7" i="7" s="1"/>
  <c r="D8" i="5"/>
  <c r="H8" i="5"/>
  <c r="D7" i="5"/>
  <c r="H7" i="5" s="1"/>
  <c r="F9" i="9"/>
  <c r="G6" i="7"/>
  <c r="E11" i="7"/>
  <c r="F11" i="7" s="1"/>
  <c r="E8" i="7"/>
  <c r="F8" i="7" s="1"/>
  <c r="H10" i="7"/>
  <c r="D9" i="7"/>
  <c r="H9" i="7" s="1"/>
  <c r="B6" i="7"/>
  <c r="B11" i="7" s="1"/>
  <c r="H11" i="7" s="1"/>
  <c r="D6" i="7"/>
  <c r="G6" i="5"/>
  <c r="F6" i="5"/>
  <c r="E6" i="5"/>
  <c r="D18" i="8"/>
  <c r="D26" i="8"/>
  <c r="D27" i="6"/>
  <c r="D27" i="8" s="1"/>
  <c r="D8" i="6"/>
  <c r="D8" i="8" s="1"/>
  <c r="D9" i="6"/>
  <c r="D9" i="8" s="1"/>
  <c r="D12" i="6"/>
  <c r="D12" i="8" s="1"/>
  <c r="D13" i="6"/>
  <c r="D13" i="8" s="1"/>
  <c r="D16" i="6"/>
  <c r="D16" i="8" s="1"/>
  <c r="D18" i="6"/>
  <c r="D19" i="6"/>
  <c r="D19" i="8" s="1"/>
  <c r="D20" i="6"/>
  <c r="D21" i="6"/>
  <c r="D21" i="8" s="1"/>
  <c r="D24" i="6"/>
  <c r="D24" i="8" s="1"/>
  <c r="D25" i="6"/>
  <c r="D25" i="8" s="1"/>
  <c r="D26" i="6"/>
  <c r="D28" i="6"/>
  <c r="D28" i="8" s="1"/>
  <c r="D7" i="6"/>
  <c r="D7" i="8" s="1"/>
  <c r="D17" i="4"/>
  <c r="D17" i="6" s="1"/>
  <c r="D17" i="8" s="1"/>
  <c r="D11" i="6"/>
  <c r="D11" i="8" s="1"/>
  <c r="D10" i="6"/>
  <c r="D10" i="8" s="1"/>
  <c r="D6" i="5" l="1"/>
  <c r="H6" i="5"/>
  <c r="D23" i="4"/>
  <c r="D29" i="4" s="1"/>
  <c r="J12" i="7"/>
  <c r="J14" i="7" s="1"/>
  <c r="B12" i="7"/>
  <c r="D22" i="6"/>
  <c r="E6" i="7"/>
  <c r="H11" i="5"/>
  <c r="D20" i="8"/>
  <c r="J12" i="9" s="1"/>
  <c r="F6" i="7"/>
  <c r="F7" i="9"/>
  <c r="F6" i="9" s="1"/>
  <c r="F15" i="9" s="1"/>
  <c r="E6" i="9"/>
  <c r="E15" i="9" s="1"/>
  <c r="H8" i="7"/>
  <c r="H6" i="7" s="1"/>
  <c r="B10" i="1"/>
  <c r="F6" i="1"/>
  <c r="D15" i="4"/>
  <c r="D15" i="6" s="1"/>
  <c r="D15" i="8" s="1"/>
  <c r="D14" i="4"/>
  <c r="D14" i="6" s="1"/>
  <c r="D14" i="8" s="1"/>
  <c r="D23" i="6" l="1"/>
  <c r="D23" i="8" s="1"/>
  <c r="L12" i="7"/>
  <c r="L14" i="7" s="1"/>
  <c r="D22" i="8"/>
  <c r="L12" i="9" s="1"/>
  <c r="D17" i="3"/>
  <c r="D23" i="3" s="1"/>
  <c r="F23" i="6"/>
  <c r="J14" i="9"/>
  <c r="J15" i="9"/>
  <c r="E6" i="1"/>
  <c r="B6" i="1" s="1"/>
  <c r="B9" i="1"/>
  <c r="B12" i="9"/>
  <c r="B14" i="9" s="1"/>
  <c r="B14" i="7"/>
  <c r="D9" i="9"/>
  <c r="H9" i="9" s="1"/>
  <c r="D8" i="9"/>
  <c r="H8" i="9" s="1"/>
  <c r="D11" i="9"/>
  <c r="H11" i="9" s="1"/>
  <c r="D7" i="9"/>
  <c r="H7" i="9" s="1"/>
  <c r="D10" i="9"/>
  <c r="H10" i="9" s="1"/>
  <c r="F21" i="8" l="1"/>
  <c r="D29" i="6"/>
  <c r="D29" i="8" s="1"/>
  <c r="L14" i="9"/>
  <c r="L15" i="9"/>
  <c r="D6" i="9"/>
  <c r="D15" i="9" s="1"/>
  <c r="H6" i="9"/>
  <c r="H15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Серебренникова</author>
  </authors>
  <commentList>
    <comment ref="D21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204"/>
          </rPr>
          <t>Серебренникова:</t>
        </r>
        <r>
          <rPr>
            <sz val="9"/>
            <color indexed="81"/>
            <rFont val="Tahoma"/>
            <family val="2"/>
            <charset val="204"/>
          </rPr>
          <t xml:space="preserve">
15млн.-ГЗ + 5млн. РХ</t>
        </r>
      </text>
    </comment>
  </commentList>
</comments>
</file>

<file path=xl/sharedStrings.xml><?xml version="1.0" encoding="utf-8"?>
<sst xmlns="http://schemas.openxmlformats.org/spreadsheetml/2006/main" count="328" uniqueCount="66">
  <si>
    <t>Наименование хозяйств, работ и операций по регулируемым видам деятельности</t>
  </si>
  <si>
    <t>Расходы, всего</t>
  </si>
  <si>
    <t>Проценты к уплате по кредитам и займам</t>
  </si>
  <si>
    <t>Прочие расходы</t>
  </si>
  <si>
    <t>1.1.</t>
  </si>
  <si>
    <t>1.2.</t>
  </si>
  <si>
    <t>1.3.</t>
  </si>
  <si>
    <t>1.4.</t>
  </si>
  <si>
    <t>2.1.</t>
  </si>
  <si>
    <t>2.2.</t>
  </si>
  <si>
    <t>2.3.</t>
  </si>
  <si>
    <t>2.4.</t>
  </si>
  <si>
    <t>10.1.</t>
  </si>
  <si>
    <t>№ п/п</t>
  </si>
  <si>
    <t>Наименование показателей финансово-хозяйственной деятельности субъекта естественных монополий в сфере услуг аэропорта</t>
  </si>
  <si>
    <t>Ед. изм.</t>
  </si>
  <si>
    <t>Доходы всего, в том числе по видам регулируемых услуг</t>
  </si>
  <si>
    <t>Сбор за взлет-посадку</t>
  </si>
  <si>
    <t>Сбор за обеспечение авиационной безопасности</t>
  </si>
  <si>
    <t>Сбор за пользование аэровокзалом</t>
  </si>
  <si>
    <t>Сбор за обслуживание пассажиров</t>
  </si>
  <si>
    <t>тыс. руб.</t>
  </si>
  <si>
    <t>Прибыль (убыток) от продаж</t>
  </si>
  <si>
    <t>Доходы от участия в других организациях</t>
  </si>
  <si>
    <t>Проценты к получению</t>
  </si>
  <si>
    <t>Проценты к уплате</t>
  </si>
  <si>
    <t>Прочие доходы</t>
  </si>
  <si>
    <t>Прибыль (убыток) до налогообложения</t>
  </si>
  <si>
    <t>Текущий налог на прибыль</t>
  </si>
  <si>
    <t>в том числе постоянные налоговые обязательства</t>
  </si>
  <si>
    <t>Изменение отложенных налоговых обязательств</t>
  </si>
  <si>
    <t>Изменение отложенных налоговых активов</t>
  </si>
  <si>
    <t>Прочее</t>
  </si>
  <si>
    <t>Чистая прибыль (убыток)</t>
  </si>
  <si>
    <t>1. Доходы и расходы</t>
  </si>
  <si>
    <t>Расходы всего (включая коммерческие и управленческие расходы), в том числе по видам регулируемых услуг</t>
  </si>
  <si>
    <t>В том числе по статьям затрат</t>
  </si>
  <si>
    <t>расходы, связанные с участием в совместной деятельности</t>
  </si>
  <si>
    <t>затраты на оплату труда</t>
  </si>
  <si>
    <t>амортизация</t>
  </si>
  <si>
    <t>прочие расходы по обычным видам деятельности</t>
  </si>
  <si>
    <t>операционные расходы, связанные с оплатой услуг, оказываемых кредитными организациями</t>
  </si>
  <si>
    <t>налоги и иные обязательные платежи</t>
  </si>
  <si>
    <t>прочие расходы</t>
  </si>
  <si>
    <t>материаль     ные затраты</t>
  </si>
  <si>
    <t>отчисле                        ния на соц. нужды</t>
  </si>
  <si>
    <t>Сбор за предоставление аэровокзального комплекса</t>
  </si>
  <si>
    <t>Форма раскрытия информации об основных планируемых показателях финансово-хозяйственной деятельности субъекта естественных монополий в сфере выполнения (оказания) регулируемых работ (услуг)                                                   АО "Аэропорт Абакан" на 2019 год</t>
  </si>
  <si>
    <t>Прогноз на              2020 год</t>
  </si>
  <si>
    <t>1. Регулируемые виды деятельности</t>
  </si>
  <si>
    <t>1.1. Обеспечение взлета, посадки и стоянки воздушных судов</t>
  </si>
  <si>
    <t>1.2. Обеспечение авиационной безопасности</t>
  </si>
  <si>
    <t>1.3. Предоставление аэровокзального комплекса</t>
  </si>
  <si>
    <t>1.4. Обслуживание пассажиров</t>
  </si>
  <si>
    <t>2. Расходы по прочим видам деятельности</t>
  </si>
  <si>
    <t>3. Проочие расходы</t>
  </si>
  <si>
    <t>2. Расшифровка расходов финансово-хозяйственной деятельности АО "Аэропорт Абакан" на 2019 год</t>
  </si>
  <si>
    <t>2. Расшифровка расходов финансово-хозяйственной деятельности АО "Аэропорт Абакан" на 2020 год</t>
  </si>
  <si>
    <t>Форма раскрытия информации об основных планируемых показателях финансово-хозяйственной деятельности субъекта естественных монополий в сфере выполнения (оказания) регулируемых работ (услуг)                                                   АО "Аэропорт Абакан" за 2018 год</t>
  </si>
  <si>
    <t>Факт              2018 год</t>
  </si>
  <si>
    <t>2. Расшифровка расходов финансово-хозяйственной деятельности АО "Аэропорт Абакан" за 2018 год</t>
  </si>
  <si>
    <t>План на              2019 год</t>
  </si>
  <si>
    <t>Форма раскрытия информации об основных планируемых показателях финансово-хозяйственной деятельности субъекта естественных монополий в сфере выполнения (оказания) регулируемых работ (услуг)                                                   АО "Аэропорт Абакан" на 2020 год</t>
  </si>
  <si>
    <t>Форма раскрытия информации об основных  прогнозируемых показателях финансово-хозяйственной деятельности субъекта естественных монополий в сфере выполнения (оказания) регулируемых работ (услуг)  АО "Аэропорт Абакан" на 2021 год</t>
  </si>
  <si>
    <t>Прогноз на              2021 год</t>
  </si>
  <si>
    <t>2. Расшифровка расходов финансово-хозяйственной деятельности АО "Аэропорт Абакан"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</si>
</sst>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19" fillId="33" borderId="10" xfId="0" applyFont="1" applyFill="1" applyBorder="1" applyAlignment="1">
      <alignment wrapText="1"/>
    </xf>
    <xf numFmtId="0" fontId="0" fillId="33" borderId="0" xfId="0" applyFill="1"/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16" fillId="33" borderId="0" xfId="0" applyFont="1" applyFill="1" applyAlignment="1">
      <alignment horizontal="center"/>
    </xf>
    <xf numFmtId="49" fontId="0" fillId="33" borderId="0" xfId="0" applyNumberFormat="1" applyFill="1"/>
    <xf numFmtId="0" fontId="0" fillId="33" borderId="0" xfId="0" applyFill="1" applyAlignment="1">
      <alignment wrapText="1"/>
    </xf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21" fillId="33" borderId="10" xfId="0" applyFont="1" applyFill="1" applyBorder="1" applyAlignment="1">
      <alignment horizontal="left" vertical="center"/>
    </xf>
    <xf numFmtId="0" fontId="21" fillId="33" borderId="10" xfId="0" applyFont="1" applyFill="1" applyBorder="1"/>
    <xf numFmtId="0" fontId="21" fillId="33" borderId="10" xfId="0" applyFont="1" applyFill="1" applyBorder="1" applyAlignment="1">
      <alignment wrapText="1"/>
    </xf>
    <xf numFmtId="0" fontId="21" fillId="33" borderId="0" xfId="0" applyFont="1" applyFill="1"/>
    <xf numFmtId="0" fontId="21" fillId="33" borderId="0" xfId="0" applyFont="1" applyFill="1" applyBorder="1"/>
    <xf numFmtId="49" fontId="21" fillId="33" borderId="0" xfId="0" applyNumberFormat="1" applyFont="1" applyFill="1"/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 wrapText="1"/>
    </xf>
    <xf numFmtId="3" fontId="21" fillId="33" borderId="10" xfId="0" applyNumberFormat="1" applyFont="1" applyFill="1" applyBorder="1" applyAlignment="1">
      <alignment horizontal="right" vertical="center"/>
    </xf>
    <xf numFmtId="3" fontId="19" fillId="33" borderId="10" xfId="0" applyNumberFormat="1" applyFont="1" applyFill="1" applyBorder="1" applyAlignment="1">
      <alignment horizontal="center" wrapText="1"/>
    </xf>
    <xf numFmtId="3" fontId="0" fillId="33" borderId="0" xfId="0" applyNumberFormat="1" applyFill="1"/>
    <xf numFmtId="0" fontId="14" fillId="33" borderId="0" xfId="0" applyFont="1" applyFill="1"/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24" fillId="33" borderId="10" xfId="0" applyFont="1" applyFill="1" applyBorder="1" applyAlignment="1">
      <alignment wrapText="1"/>
    </xf>
    <xf numFmtId="3" fontId="24" fillId="33" borderId="10" xfId="0" applyNumberFormat="1" applyFont="1" applyFill="1" applyBorder="1" applyAlignment="1">
      <alignment horizontal="center" wrapText="1"/>
    </xf>
    <xf numFmtId="3" fontId="24" fillId="33" borderId="10" xfId="0" applyNumberFormat="1" applyFont="1" applyFill="1" applyBorder="1" applyAlignment="1">
      <alignment wrapText="1"/>
    </xf>
    <xf numFmtId="1" fontId="0" fillId="33" borderId="0" xfId="0" applyNumberFormat="1" applyFill="1"/>
    <xf numFmtId="1" fontId="0" fillId="33" borderId="0" xfId="0" applyNumberFormat="1" applyFill="1" applyAlignment="1">
      <alignment wrapText="1"/>
    </xf>
    <xf numFmtId="0" fontId="18" fillId="33" borderId="0" xfId="0" applyFont="1" applyFill="1" applyAlignment="1">
      <alignment horizontal="center" wrapText="1"/>
    </xf>
    <xf numFmtId="0" fontId="0" fillId="33" borderId="0" xfId="0" applyFill="1" applyAlignment="1">
      <alignment wrapText="1"/>
    </xf>
    <xf numFmtId="0" fontId="19" fillId="33" borderId="10" xfId="0" applyFont="1" applyFill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/>
    </xf>
    <xf numFmtId="0" fontId="19" fillId="33" borderId="12" xfId="0" applyFont="1" applyFill="1" applyBorder="1" applyAlignment="1">
      <alignment horizontal="center"/>
    </xf>
    <xf numFmtId="0" fontId="19" fillId="33" borderId="13" xfId="0" applyFont="1" applyFill="1" applyBorder="1" applyAlignment="1">
      <alignment horizontal="center"/>
    </xf>
    <xf numFmtId="0" fontId="20" fillId="33" borderId="0" xfId="0" applyFont="1" applyFill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G26" sqref="G26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16384" width="9.140625" style="2"/>
  </cols>
  <sheetData>
    <row r="1" spans="1:5" ht="3" customHeight="1" x14ac:dyDescent="0.25"/>
    <row r="2" spans="1:5" ht="83.25" customHeight="1" x14ac:dyDescent="0.3">
      <c r="A2" s="29" t="s">
        <v>58</v>
      </c>
      <c r="B2" s="29"/>
      <c r="C2" s="29"/>
      <c r="D2" s="29"/>
    </row>
    <row r="4" spans="1:5" x14ac:dyDescent="0.25">
      <c r="B4" s="5" t="s">
        <v>34</v>
      </c>
    </row>
    <row r="6" spans="1:5" ht="43.9" customHeight="1" x14ac:dyDescent="0.25">
      <c r="A6" s="16" t="s">
        <v>13</v>
      </c>
      <c r="B6" s="17" t="s">
        <v>14</v>
      </c>
      <c r="C6" s="16" t="s">
        <v>15</v>
      </c>
      <c r="D6" s="17" t="s">
        <v>59</v>
      </c>
    </row>
    <row r="7" spans="1:5" x14ac:dyDescent="0.25">
      <c r="A7" s="10">
        <v>1</v>
      </c>
      <c r="B7" s="11" t="s">
        <v>16</v>
      </c>
      <c r="C7" s="11" t="s">
        <v>21</v>
      </c>
      <c r="D7" s="18">
        <v>283837</v>
      </c>
    </row>
    <row r="8" spans="1:5" x14ac:dyDescent="0.25">
      <c r="A8" s="10" t="s">
        <v>4</v>
      </c>
      <c r="B8" s="11" t="s">
        <v>17</v>
      </c>
      <c r="C8" s="11" t="s">
        <v>21</v>
      </c>
      <c r="D8" s="18">
        <v>87385</v>
      </c>
    </row>
    <row r="9" spans="1:5" x14ac:dyDescent="0.25">
      <c r="A9" s="10" t="s">
        <v>5</v>
      </c>
      <c r="B9" s="11" t="s">
        <v>18</v>
      </c>
      <c r="C9" s="11" t="s">
        <v>21</v>
      </c>
      <c r="D9" s="18">
        <v>38173</v>
      </c>
    </row>
    <row r="10" spans="1:5" x14ac:dyDescent="0.25">
      <c r="A10" s="10" t="s">
        <v>6</v>
      </c>
      <c r="B10" s="11" t="s">
        <v>19</v>
      </c>
      <c r="C10" s="11" t="s">
        <v>21</v>
      </c>
      <c r="D10" s="18">
        <v>21547</v>
      </c>
    </row>
    <row r="11" spans="1:5" x14ac:dyDescent="0.25">
      <c r="A11" s="10" t="s">
        <v>7</v>
      </c>
      <c r="B11" s="11" t="s">
        <v>20</v>
      </c>
      <c r="C11" s="11" t="s">
        <v>21</v>
      </c>
      <c r="D11" s="18">
        <v>19508</v>
      </c>
    </row>
    <row r="12" spans="1:5" ht="27" customHeight="1" x14ac:dyDescent="0.25">
      <c r="A12" s="10">
        <v>2</v>
      </c>
      <c r="B12" s="12" t="s">
        <v>35</v>
      </c>
      <c r="C12" s="11" t="s">
        <v>21</v>
      </c>
      <c r="D12" s="18">
        <v>302691</v>
      </c>
    </row>
    <row r="13" spans="1:5" x14ac:dyDescent="0.25">
      <c r="A13" s="10" t="s">
        <v>8</v>
      </c>
      <c r="B13" s="11" t="s">
        <v>17</v>
      </c>
      <c r="C13" s="11" t="s">
        <v>21</v>
      </c>
      <c r="D13" s="18">
        <v>110250</v>
      </c>
      <c r="E13" s="27"/>
    </row>
    <row r="14" spans="1:5" x14ac:dyDescent="0.25">
      <c r="A14" s="10" t="s">
        <v>9</v>
      </c>
      <c r="B14" s="11" t="s">
        <v>18</v>
      </c>
      <c r="C14" s="11" t="s">
        <v>21</v>
      </c>
      <c r="D14" s="18">
        <v>50986</v>
      </c>
      <c r="E14" s="27"/>
    </row>
    <row r="15" spans="1:5" x14ac:dyDescent="0.25">
      <c r="A15" s="10" t="s">
        <v>10</v>
      </c>
      <c r="B15" s="11" t="s">
        <v>46</v>
      </c>
      <c r="C15" s="11" t="s">
        <v>21</v>
      </c>
      <c r="D15" s="18">
        <f>12671+1239</f>
        <v>13910</v>
      </c>
      <c r="E15" s="27"/>
    </row>
    <row r="16" spans="1:5" x14ac:dyDescent="0.25">
      <c r="A16" s="10" t="s">
        <v>11</v>
      </c>
      <c r="B16" s="11" t="s">
        <v>20</v>
      </c>
      <c r="C16" s="11" t="s">
        <v>21</v>
      </c>
      <c r="D16" s="18">
        <f>18542+4603</f>
        <v>23145</v>
      </c>
      <c r="E16" s="27"/>
    </row>
    <row r="17" spans="1:6" x14ac:dyDescent="0.25">
      <c r="A17" s="10">
        <v>3</v>
      </c>
      <c r="B17" s="11" t="s">
        <v>22</v>
      </c>
      <c r="C17" s="11" t="s">
        <v>21</v>
      </c>
      <c r="D17" s="18">
        <f>D7-D12</f>
        <v>-18854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v>17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v>2171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v>43808</v>
      </c>
    </row>
    <row r="22" spans="1:6" x14ac:dyDescent="0.25">
      <c r="A22" s="10">
        <v>8</v>
      </c>
      <c r="B22" s="11" t="s">
        <v>3</v>
      </c>
      <c r="C22" s="11" t="s">
        <v>21</v>
      </c>
      <c r="D22" s="18">
        <v>6175</v>
      </c>
      <c r="F22" s="20"/>
    </row>
    <row r="23" spans="1:6" x14ac:dyDescent="0.25">
      <c r="A23" s="10">
        <v>9</v>
      </c>
      <c r="B23" s="11" t="s">
        <v>27</v>
      </c>
      <c r="C23" s="11" t="s">
        <v>21</v>
      </c>
      <c r="D23" s="18">
        <f>D17+D19+D21-D18-D20-D22</f>
        <v>16625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v>-2039</v>
      </c>
      <c r="F24" s="20"/>
    </row>
    <row r="25" spans="1:6" x14ac:dyDescent="0.25">
      <c r="A25" s="10" t="s">
        <v>12</v>
      </c>
      <c r="B25" s="11" t="s">
        <v>29</v>
      </c>
      <c r="C25" s="11" t="s">
        <v>21</v>
      </c>
      <c r="D25" s="18">
        <v>192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v>171</v>
      </c>
    </row>
    <row r="27" spans="1:6" x14ac:dyDescent="0.25">
      <c r="A27" s="10">
        <v>12</v>
      </c>
      <c r="B27" s="11" t="s">
        <v>31</v>
      </c>
      <c r="C27" s="11" t="s">
        <v>21</v>
      </c>
      <c r="D27" s="18">
        <v>1307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v>13108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30"/>
      <c r="B32" s="30"/>
      <c r="C32" s="30"/>
      <c r="D32" s="30"/>
    </row>
  </sheetData>
  <mergeCells count="2">
    <mergeCell ref="A2:D2"/>
    <mergeCell ref="A32:D32"/>
  </mergeCells>
  <pageMargins left="0" right="0" top="0" bottom="0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6"/>
  <sheetViews>
    <sheetView workbookViewId="0">
      <selection activeCell="C22" sqref="C22"/>
    </sheetView>
  </sheetViews>
  <sheetFormatPr defaultColWidth="9.140625" defaultRowHeight="15" x14ac:dyDescent="0.25"/>
  <cols>
    <col min="1" max="1" width="24.8554687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35" t="s">
        <v>60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4" spans="1:14" ht="15" customHeight="1" x14ac:dyDescent="0.25">
      <c r="A4" s="31" t="s">
        <v>0</v>
      </c>
      <c r="B4" s="31" t="s">
        <v>1</v>
      </c>
      <c r="C4" s="32" t="s">
        <v>36</v>
      </c>
      <c r="D4" s="33"/>
      <c r="E4" s="33"/>
      <c r="F4" s="33"/>
      <c r="G4" s="33"/>
      <c r="H4" s="33"/>
      <c r="I4" s="33"/>
      <c r="J4" s="33"/>
      <c r="K4" s="33"/>
      <c r="L4" s="34"/>
    </row>
    <row r="5" spans="1:14" ht="98.25" customHeight="1" x14ac:dyDescent="0.25">
      <c r="A5" s="31"/>
      <c r="B5" s="31"/>
      <c r="C5" s="23" t="s">
        <v>37</v>
      </c>
      <c r="D5" s="23" t="s">
        <v>44</v>
      </c>
      <c r="E5" s="23" t="s">
        <v>38</v>
      </c>
      <c r="F5" s="23" t="s">
        <v>45</v>
      </c>
      <c r="G5" s="23" t="s">
        <v>39</v>
      </c>
      <c r="H5" s="23" t="s">
        <v>40</v>
      </c>
      <c r="I5" s="23" t="s">
        <v>41</v>
      </c>
      <c r="J5" s="23" t="s">
        <v>2</v>
      </c>
      <c r="K5" s="23" t="s">
        <v>42</v>
      </c>
      <c r="L5" s="23" t="s">
        <v>43</v>
      </c>
      <c r="M5" s="3"/>
      <c r="N5" s="3"/>
    </row>
    <row r="6" spans="1:14" ht="26.25" customHeight="1" x14ac:dyDescent="0.25">
      <c r="A6" s="24" t="s">
        <v>49</v>
      </c>
      <c r="B6" s="25">
        <f>SUM(C6:H6)</f>
        <v>198288</v>
      </c>
      <c r="C6" s="25"/>
      <c r="D6" s="25">
        <f>D7+D8+D9+D10</f>
        <v>25112</v>
      </c>
      <c r="E6" s="25">
        <f t="shared" ref="E6:H6" si="0">E7+E8+E9+E10</f>
        <v>104819</v>
      </c>
      <c r="F6" s="25">
        <f t="shared" si="0"/>
        <v>26574</v>
      </c>
      <c r="G6" s="25">
        <f t="shared" si="0"/>
        <v>1644</v>
      </c>
      <c r="H6" s="25">
        <f t="shared" si="0"/>
        <v>40139</v>
      </c>
      <c r="I6" s="25"/>
      <c r="J6" s="25"/>
      <c r="K6" s="25"/>
      <c r="L6" s="25"/>
      <c r="M6" s="3"/>
      <c r="N6" s="3"/>
    </row>
    <row r="7" spans="1:14" ht="39" x14ac:dyDescent="0.25">
      <c r="A7" s="1" t="s">
        <v>50</v>
      </c>
      <c r="B7" s="19">
        <f>SUM(C7:L7)</f>
        <v>110250</v>
      </c>
      <c r="C7" s="19"/>
      <c r="D7" s="19">
        <f>15278+1813</f>
        <v>17091</v>
      </c>
      <c r="E7" s="19">
        <v>53121</v>
      </c>
      <c r="F7" s="19">
        <v>13289</v>
      </c>
      <c r="G7" s="19">
        <v>498</v>
      </c>
      <c r="H7" s="19">
        <f>16447+5314+4490</f>
        <v>26251</v>
      </c>
      <c r="I7" s="19"/>
      <c r="J7" s="19"/>
      <c r="K7" s="19"/>
      <c r="L7" s="19"/>
      <c r="M7" s="3"/>
      <c r="N7" s="3"/>
    </row>
    <row r="8" spans="1:14" ht="26.25" x14ac:dyDescent="0.25">
      <c r="A8" s="1" t="s">
        <v>51</v>
      </c>
      <c r="B8" s="19">
        <f t="shared" ref="B8:B11" si="1">SUM(C8:L8)</f>
        <v>50986</v>
      </c>
      <c r="C8" s="19"/>
      <c r="D8" s="19">
        <f>2395+698</f>
        <v>3093</v>
      </c>
      <c r="E8" s="19">
        <v>32833</v>
      </c>
      <c r="F8" s="19">
        <v>8402</v>
      </c>
      <c r="G8" s="19">
        <v>535</v>
      </c>
      <c r="H8" s="19">
        <f>421+2618+3084</f>
        <v>6123</v>
      </c>
      <c r="I8" s="19"/>
      <c r="J8" s="19"/>
      <c r="K8" s="19"/>
      <c r="L8" s="19"/>
      <c r="M8" s="7"/>
      <c r="N8" s="7"/>
    </row>
    <row r="9" spans="1:14" ht="27.75" customHeight="1" x14ac:dyDescent="0.25">
      <c r="A9" s="1" t="s">
        <v>52</v>
      </c>
      <c r="B9" s="19">
        <f t="shared" si="1"/>
        <v>13910</v>
      </c>
      <c r="C9" s="19"/>
      <c r="D9" s="19">
        <f>680+67+226+14</f>
        <v>987</v>
      </c>
      <c r="E9" s="19">
        <f>7055+698</f>
        <v>7753</v>
      </c>
      <c r="F9" s="19">
        <f>1835+181</f>
        <v>2016</v>
      </c>
      <c r="G9" s="19">
        <f>344+25</f>
        <v>369</v>
      </c>
      <c r="H9" s="19">
        <f>908+93+976+97+647+64</f>
        <v>2785</v>
      </c>
      <c r="I9" s="19"/>
      <c r="J9" s="19"/>
      <c r="K9" s="19"/>
      <c r="L9" s="19"/>
      <c r="M9" s="7"/>
      <c r="N9" s="7"/>
    </row>
    <row r="10" spans="1:14" ht="26.25" x14ac:dyDescent="0.25">
      <c r="A10" s="1" t="s">
        <v>53</v>
      </c>
      <c r="B10" s="19">
        <f t="shared" si="1"/>
        <v>23142</v>
      </c>
      <c r="C10" s="19"/>
      <c r="D10" s="19">
        <f>2691+673+490+87</f>
        <v>3941</v>
      </c>
      <c r="E10" s="19">
        <f>8890+2222</f>
        <v>11112</v>
      </c>
      <c r="F10" s="19">
        <f>2296+571</f>
        <v>2867</v>
      </c>
      <c r="G10" s="19">
        <f>191+51</f>
        <v>242</v>
      </c>
      <c r="H10" s="19">
        <f>2074+518+1156+289+754+189</f>
        <v>4980</v>
      </c>
      <c r="I10" s="19"/>
      <c r="J10" s="19"/>
      <c r="K10" s="19"/>
      <c r="L10" s="19"/>
      <c r="M10" s="3"/>
      <c r="N10" s="3"/>
    </row>
    <row r="11" spans="1:14" ht="26.25" x14ac:dyDescent="0.25">
      <c r="A11" s="24" t="s">
        <v>54</v>
      </c>
      <c r="B11" s="25">
        <f t="shared" si="1"/>
        <v>104403</v>
      </c>
      <c r="C11" s="25"/>
      <c r="D11" s="25">
        <f>827+5001+6349+72+469+1236+205</f>
        <v>14159</v>
      </c>
      <c r="E11" s="25">
        <f>3931+27371+15812+1836</f>
        <v>48950</v>
      </c>
      <c r="F11" s="25">
        <f>991+7064+4042+488</f>
        <v>12585</v>
      </c>
      <c r="G11" s="25">
        <f>148+914+1100</f>
        <v>2162</v>
      </c>
      <c r="H11" s="25">
        <f>2164+6947+1587+276+1724+1190+326+4039+7768+158+199+169</f>
        <v>26547</v>
      </c>
      <c r="I11" s="25"/>
      <c r="J11" s="25"/>
      <c r="K11" s="25"/>
      <c r="L11" s="25"/>
      <c r="M11" s="3"/>
      <c r="N11" s="3"/>
    </row>
    <row r="12" spans="1:14" x14ac:dyDescent="0.25">
      <c r="A12" s="24" t="s">
        <v>55</v>
      </c>
      <c r="B12" s="25">
        <f>SUM(C12:L12)</f>
        <v>8346</v>
      </c>
      <c r="C12" s="24"/>
      <c r="D12" s="24"/>
      <c r="E12" s="24"/>
      <c r="F12" s="24"/>
      <c r="G12" s="24"/>
      <c r="H12" s="24"/>
      <c r="I12" s="24"/>
      <c r="J12" s="26">
        <f>'2018'!D20</f>
        <v>2171</v>
      </c>
      <c r="K12" s="24"/>
      <c r="L12" s="26">
        <f>'2018'!D22</f>
        <v>6175</v>
      </c>
      <c r="M12" s="3"/>
      <c r="N12" s="3"/>
    </row>
    <row r="13" spans="1:14" x14ac:dyDescent="0.25">
      <c r="A13" s="3"/>
      <c r="B13" s="3"/>
      <c r="C13" s="3"/>
      <c r="D13" s="3"/>
      <c r="E13" s="3"/>
      <c r="F13" s="3"/>
      <c r="G13" s="3"/>
      <c r="H13" s="3"/>
      <c r="I13" s="22"/>
      <c r="J13" s="22"/>
      <c r="K13" s="22"/>
      <c r="L13" s="22"/>
      <c r="M13" s="3"/>
      <c r="N13" s="3"/>
    </row>
    <row r="14" spans="1:14" hidden="1" x14ac:dyDescent="0.25">
      <c r="B14" s="20"/>
    </row>
    <row r="15" spans="1:14" hidden="1" x14ac:dyDescent="0.25">
      <c r="B15" s="20">
        <f>B6+B11</f>
        <v>302691</v>
      </c>
    </row>
    <row r="16" spans="1:14" hidden="1" x14ac:dyDescent="0.25">
      <c r="B16" s="20">
        <f>B15+B12</f>
        <v>311037</v>
      </c>
    </row>
  </sheetData>
  <mergeCells count="4">
    <mergeCell ref="A4:A5"/>
    <mergeCell ref="B4:B5"/>
    <mergeCell ref="C4:L4"/>
    <mergeCell ref="A2:L2"/>
  </mergeCells>
  <pageMargins left="0.39370078740157483" right="0.39370078740157483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F32"/>
  <sheetViews>
    <sheetView workbookViewId="0">
      <selection activeCell="G26" sqref="G26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16384" width="9.140625" style="2"/>
  </cols>
  <sheetData>
    <row r="1" spans="1:4" ht="3" customHeight="1" x14ac:dyDescent="0.25"/>
    <row r="2" spans="1:4" ht="83.25" customHeight="1" x14ac:dyDescent="0.3">
      <c r="A2" s="29" t="s">
        <v>47</v>
      </c>
      <c r="B2" s="29"/>
      <c r="C2" s="29"/>
      <c r="D2" s="29"/>
    </row>
    <row r="4" spans="1:4" x14ac:dyDescent="0.25">
      <c r="B4" s="5" t="s">
        <v>34</v>
      </c>
    </row>
    <row r="6" spans="1:4" ht="43.9" customHeight="1" x14ac:dyDescent="0.25">
      <c r="A6" s="16" t="s">
        <v>13</v>
      </c>
      <c r="B6" s="17" t="s">
        <v>14</v>
      </c>
      <c r="C6" s="16" t="s">
        <v>15</v>
      </c>
      <c r="D6" s="17" t="s">
        <v>61</v>
      </c>
    </row>
    <row r="7" spans="1:4" x14ac:dyDescent="0.25">
      <c r="A7" s="10">
        <v>1</v>
      </c>
      <c r="B7" s="11" t="s">
        <v>16</v>
      </c>
      <c r="C7" s="11" t="s">
        <v>21</v>
      </c>
      <c r="D7" s="18">
        <v>296525</v>
      </c>
    </row>
    <row r="8" spans="1:4" x14ac:dyDescent="0.25">
      <c r="A8" s="10" t="s">
        <v>4</v>
      </c>
      <c r="B8" s="11" t="s">
        <v>17</v>
      </c>
      <c r="C8" s="11" t="s">
        <v>21</v>
      </c>
      <c r="D8" s="18">
        <v>97665</v>
      </c>
    </row>
    <row r="9" spans="1:4" x14ac:dyDescent="0.25">
      <c r="A9" s="10" t="s">
        <v>5</v>
      </c>
      <c r="B9" s="11" t="s">
        <v>18</v>
      </c>
      <c r="C9" s="11" t="s">
        <v>21</v>
      </c>
      <c r="D9" s="18">
        <v>39927</v>
      </c>
    </row>
    <row r="10" spans="1:4" x14ac:dyDescent="0.25">
      <c r="A10" s="10" t="s">
        <v>6</v>
      </c>
      <c r="B10" s="11" t="s">
        <v>19</v>
      </c>
      <c r="C10" s="11" t="s">
        <v>21</v>
      </c>
      <c r="D10" s="18">
        <f>10569+510+10228+563</f>
        <v>21870</v>
      </c>
    </row>
    <row r="11" spans="1:4" x14ac:dyDescent="0.25">
      <c r="A11" s="10" t="s">
        <v>7</v>
      </c>
      <c r="B11" s="11" t="s">
        <v>20</v>
      </c>
      <c r="C11" s="11" t="s">
        <v>21</v>
      </c>
      <c r="D11" s="18">
        <f>19339+1060</f>
        <v>20399</v>
      </c>
    </row>
    <row r="12" spans="1:4" ht="27" customHeight="1" x14ac:dyDescent="0.25">
      <c r="A12" s="10">
        <v>2</v>
      </c>
      <c r="B12" s="12" t="s">
        <v>35</v>
      </c>
      <c r="C12" s="11" t="s">
        <v>21</v>
      </c>
      <c r="D12" s="18">
        <v>335418</v>
      </c>
    </row>
    <row r="13" spans="1:4" x14ac:dyDescent="0.25">
      <c r="A13" s="10" t="s">
        <v>8</v>
      </c>
      <c r="B13" s="11" t="s">
        <v>17</v>
      </c>
      <c r="C13" s="11" t="s">
        <v>21</v>
      </c>
      <c r="D13" s="18">
        <f>D12*36%</f>
        <v>120750.48</v>
      </c>
    </row>
    <row r="14" spans="1:4" x14ac:dyDescent="0.25">
      <c r="A14" s="10" t="s">
        <v>9</v>
      </c>
      <c r="B14" s="11" t="s">
        <v>18</v>
      </c>
      <c r="C14" s="11" t="s">
        <v>21</v>
      </c>
      <c r="D14" s="18">
        <f>D12*15%</f>
        <v>50312.7</v>
      </c>
    </row>
    <row r="15" spans="1:4" x14ac:dyDescent="0.25">
      <c r="A15" s="10" t="s">
        <v>10</v>
      </c>
      <c r="B15" s="11" t="s">
        <v>46</v>
      </c>
      <c r="C15" s="11" t="s">
        <v>21</v>
      </c>
      <c r="D15" s="18">
        <f>D12*5%</f>
        <v>16770.900000000001</v>
      </c>
    </row>
    <row r="16" spans="1:4" x14ac:dyDescent="0.25">
      <c r="A16" s="10" t="s">
        <v>11</v>
      </c>
      <c r="B16" s="11" t="s">
        <v>20</v>
      </c>
      <c r="C16" s="11" t="s">
        <v>21</v>
      </c>
      <c r="D16" s="18">
        <f>D12*6%</f>
        <v>20125.079999999998</v>
      </c>
    </row>
    <row r="17" spans="1:6" x14ac:dyDescent="0.25">
      <c r="A17" s="10">
        <v>3</v>
      </c>
      <c r="B17" s="11" t="s">
        <v>22</v>
      </c>
      <c r="C17" s="11" t="s">
        <v>21</v>
      </c>
      <c r="D17" s="18">
        <f>D7-D12</f>
        <v>-38893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v>0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v>1396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v>45395</v>
      </c>
    </row>
    <row r="22" spans="1:6" x14ac:dyDescent="0.25">
      <c r="A22" s="10">
        <v>8</v>
      </c>
      <c r="B22" s="11" t="s">
        <v>3</v>
      </c>
      <c r="C22" s="11" t="s">
        <v>21</v>
      </c>
      <c r="D22" s="18">
        <v>3931</v>
      </c>
    </row>
    <row r="23" spans="1:6" x14ac:dyDescent="0.25">
      <c r="A23" s="10">
        <v>9</v>
      </c>
      <c r="B23" s="11" t="s">
        <v>27</v>
      </c>
      <c r="C23" s="11" t="s">
        <v>21</v>
      </c>
      <c r="D23" s="18">
        <f>D17+D21-D20-D22</f>
        <v>1175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v>0</v>
      </c>
    </row>
    <row r="25" spans="1:6" x14ac:dyDescent="0.25">
      <c r="A25" s="10" t="s">
        <v>12</v>
      </c>
      <c r="B25" s="11" t="s">
        <v>29</v>
      </c>
      <c r="C25" s="11" t="s">
        <v>21</v>
      </c>
      <c r="D25" s="18">
        <v>0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v>0</v>
      </c>
      <c r="F26" s="20"/>
    </row>
    <row r="27" spans="1:6" x14ac:dyDescent="0.25">
      <c r="A27" s="10">
        <v>12</v>
      </c>
      <c r="B27" s="11" t="s">
        <v>31</v>
      </c>
      <c r="C27" s="11" t="s">
        <v>21</v>
      </c>
      <c r="D27" s="18">
        <v>235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f>D23-D27</f>
        <v>940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30"/>
      <c r="B32" s="30"/>
      <c r="C32" s="30"/>
      <c r="D32" s="30"/>
    </row>
  </sheetData>
  <mergeCells count="2">
    <mergeCell ref="A2:D2"/>
    <mergeCell ref="A32:D3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2:N17"/>
  <sheetViews>
    <sheetView workbookViewId="0">
      <selection activeCell="I28" sqref="I28"/>
    </sheetView>
  </sheetViews>
  <sheetFormatPr defaultColWidth="9.140625" defaultRowHeight="15" x14ac:dyDescent="0.25"/>
  <cols>
    <col min="1" max="1" width="24.8554687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35" t="s">
        <v>56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4" spans="1:14" ht="15" customHeight="1" x14ac:dyDescent="0.25">
      <c r="A4" s="31" t="s">
        <v>0</v>
      </c>
      <c r="B4" s="31" t="s">
        <v>1</v>
      </c>
      <c r="C4" s="32" t="s">
        <v>36</v>
      </c>
      <c r="D4" s="33"/>
      <c r="E4" s="33"/>
      <c r="F4" s="33"/>
      <c r="G4" s="33"/>
      <c r="H4" s="33"/>
      <c r="I4" s="33"/>
      <c r="J4" s="33"/>
      <c r="K4" s="33"/>
      <c r="L4" s="34"/>
    </row>
    <row r="5" spans="1:14" ht="98.25" customHeight="1" x14ac:dyDescent="0.25">
      <c r="A5" s="31"/>
      <c r="B5" s="31"/>
      <c r="C5" s="23" t="s">
        <v>37</v>
      </c>
      <c r="D5" s="23" t="s">
        <v>44</v>
      </c>
      <c r="E5" s="23" t="s">
        <v>38</v>
      </c>
      <c r="F5" s="23" t="s">
        <v>45</v>
      </c>
      <c r="G5" s="23" t="s">
        <v>39</v>
      </c>
      <c r="H5" s="23" t="s">
        <v>40</v>
      </c>
      <c r="I5" s="23" t="s">
        <v>41</v>
      </c>
      <c r="J5" s="23" t="s">
        <v>2</v>
      </c>
      <c r="K5" s="23" t="s">
        <v>42</v>
      </c>
      <c r="L5" s="23" t="s">
        <v>43</v>
      </c>
      <c r="M5" s="22"/>
      <c r="N5" s="22"/>
    </row>
    <row r="6" spans="1:14" ht="26.25" customHeight="1" x14ac:dyDescent="0.25">
      <c r="A6" s="24" t="s">
        <v>49</v>
      </c>
      <c r="B6" s="25">
        <f>SUM(B7:B10)</f>
        <v>190670</v>
      </c>
      <c r="C6" s="25"/>
      <c r="D6" s="25">
        <f>D7+D8+D9+D10</f>
        <v>31593.18</v>
      </c>
      <c r="E6" s="25">
        <f t="shared" ref="E6:H6" si="0">E7+E8+E9+E10</f>
        <v>103453.44</v>
      </c>
      <c r="F6" s="25">
        <f t="shared" si="0"/>
        <v>31491.227136000001</v>
      </c>
      <c r="G6" s="25">
        <f t="shared" si="0"/>
        <v>1932.3300000000002</v>
      </c>
      <c r="H6" s="25">
        <f t="shared" si="0"/>
        <v>22119.822863999994</v>
      </c>
      <c r="I6" s="25"/>
      <c r="J6" s="25"/>
      <c r="K6" s="25"/>
      <c r="L6" s="25"/>
      <c r="M6" s="22"/>
      <c r="N6" s="22"/>
    </row>
    <row r="7" spans="1:14" ht="39" x14ac:dyDescent="0.25">
      <c r="A7" s="1" t="s">
        <v>50</v>
      </c>
      <c r="B7" s="19">
        <v>110711</v>
      </c>
      <c r="C7" s="19"/>
      <c r="D7" s="19">
        <f>D14*40%</f>
        <v>21788.400000000001</v>
      </c>
      <c r="E7" s="19">
        <f>E14*34%</f>
        <v>54959.640000000007</v>
      </c>
      <c r="F7" s="19">
        <f>E7*30.44%</f>
        <v>16729.714416000003</v>
      </c>
      <c r="G7" s="19">
        <f>G14*23%</f>
        <v>1083.99</v>
      </c>
      <c r="H7" s="19">
        <f>B7-D7-E7-F7-G7</f>
        <v>16149.255583999997</v>
      </c>
      <c r="I7" s="19"/>
      <c r="J7" s="19"/>
      <c r="K7" s="19"/>
      <c r="L7" s="19"/>
      <c r="M7" s="22"/>
      <c r="N7" s="22"/>
    </row>
    <row r="8" spans="1:14" ht="26.25" x14ac:dyDescent="0.25">
      <c r="A8" s="1" t="s">
        <v>51</v>
      </c>
      <c r="B8" s="19">
        <v>46130</v>
      </c>
      <c r="C8" s="19"/>
      <c r="D8" s="19">
        <f>D14*8%</f>
        <v>4357.68</v>
      </c>
      <c r="E8" s="19">
        <f>E14*18%</f>
        <v>29096.28</v>
      </c>
      <c r="F8" s="19">
        <f t="shared" ref="F8:F11" si="1">E8*30.44%</f>
        <v>8856.9076320000004</v>
      </c>
      <c r="G8" s="19">
        <f>G14*11%</f>
        <v>518.42999999999995</v>
      </c>
      <c r="H8" s="19">
        <f t="shared" ref="H8:H11" si="2">B8-D8-E8-F8-G8</f>
        <v>3300.7023680000007</v>
      </c>
      <c r="I8" s="19"/>
      <c r="J8" s="19"/>
      <c r="K8" s="19"/>
      <c r="L8" s="19"/>
      <c r="M8" s="22"/>
      <c r="N8" s="22"/>
    </row>
    <row r="9" spans="1:14" ht="27.75" customHeight="1" x14ac:dyDescent="0.25">
      <c r="A9" s="1" t="s">
        <v>52</v>
      </c>
      <c r="B9" s="19">
        <v>15377</v>
      </c>
      <c r="C9" s="19"/>
      <c r="D9" s="19">
        <f>D14*2%</f>
        <v>1089.42</v>
      </c>
      <c r="E9" s="19">
        <f>E14*6%</f>
        <v>9698.76</v>
      </c>
      <c r="F9" s="19">
        <f t="shared" si="1"/>
        <v>2952.3025440000001</v>
      </c>
      <c r="G9" s="19">
        <f>G14*2%</f>
        <v>94.26</v>
      </c>
      <c r="H9" s="19">
        <f>B9-D9-E9-F9-G9-80</f>
        <v>1462.2574559999996</v>
      </c>
      <c r="I9" s="19"/>
      <c r="J9" s="19"/>
      <c r="K9" s="19"/>
      <c r="L9" s="19"/>
      <c r="M9" s="22"/>
      <c r="N9" s="22"/>
    </row>
    <row r="10" spans="1:14" ht="26.25" x14ac:dyDescent="0.25">
      <c r="A10" s="1" t="s">
        <v>53</v>
      </c>
      <c r="B10" s="19">
        <v>18452</v>
      </c>
      <c r="C10" s="19"/>
      <c r="D10" s="19">
        <f>D14*8%</f>
        <v>4357.68</v>
      </c>
      <c r="E10" s="19">
        <f>E14*6%</f>
        <v>9698.76</v>
      </c>
      <c r="F10" s="19">
        <f t="shared" si="1"/>
        <v>2952.3025440000001</v>
      </c>
      <c r="G10" s="19">
        <f>G14*5%</f>
        <v>235.65</v>
      </c>
      <c r="H10" s="19">
        <f>B10-D10-E10-F10-G10</f>
        <v>1207.6074559999993</v>
      </c>
      <c r="I10" s="19"/>
      <c r="J10" s="19"/>
      <c r="K10" s="19"/>
      <c r="L10" s="19"/>
      <c r="M10" s="22"/>
      <c r="N10" s="22"/>
    </row>
    <row r="11" spans="1:14" ht="26.25" x14ac:dyDescent="0.25">
      <c r="A11" s="24" t="s">
        <v>54</v>
      </c>
      <c r="B11" s="25">
        <f>335418-B6</f>
        <v>144748</v>
      </c>
      <c r="C11" s="25"/>
      <c r="D11" s="25">
        <f>D14*39%</f>
        <v>21243.690000000002</v>
      </c>
      <c r="E11" s="25">
        <f>E14*34%</f>
        <v>54959.640000000007</v>
      </c>
      <c r="F11" s="25">
        <f t="shared" si="1"/>
        <v>16729.714416000003</v>
      </c>
      <c r="G11" s="25">
        <f>G14*59%</f>
        <v>2780.67</v>
      </c>
      <c r="H11" s="25">
        <f t="shared" si="2"/>
        <v>49034.285583999983</v>
      </c>
      <c r="I11" s="25"/>
      <c r="J11" s="25"/>
      <c r="K11" s="25"/>
      <c r="L11" s="25"/>
      <c r="M11" s="22"/>
      <c r="N11" s="22"/>
    </row>
    <row r="12" spans="1:14" x14ac:dyDescent="0.25">
      <c r="A12" s="24" t="s">
        <v>55</v>
      </c>
      <c r="B12" s="25">
        <f>J12+L12</f>
        <v>5327</v>
      </c>
      <c r="C12" s="24"/>
      <c r="D12" s="24"/>
      <c r="E12" s="24"/>
      <c r="F12" s="24"/>
      <c r="G12" s="24"/>
      <c r="H12" s="24"/>
      <c r="I12" s="24"/>
      <c r="J12" s="26">
        <f>'Д и Р по бюджету 2019'!D20</f>
        <v>1396</v>
      </c>
      <c r="K12" s="24"/>
      <c r="L12" s="26">
        <f>'Д и Р по бюджету 2019'!D22</f>
        <v>3931</v>
      </c>
      <c r="M12" s="22"/>
      <c r="N12" s="22"/>
    </row>
    <row r="13" spans="1:14" hidden="1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</row>
    <row r="14" spans="1:14" hidden="1" x14ac:dyDescent="0.25">
      <c r="B14" s="20">
        <f>B6+B11+B12</f>
        <v>340745</v>
      </c>
      <c r="C14" s="20">
        <f t="shared" ref="C14:L14" si="3">C6+C11+C12</f>
        <v>0</v>
      </c>
      <c r="D14" s="20">
        <f>41803+12668</f>
        <v>54471</v>
      </c>
      <c r="E14" s="20">
        <v>161646</v>
      </c>
      <c r="F14" s="20">
        <v>43031</v>
      </c>
      <c r="G14" s="20">
        <v>4713</v>
      </c>
      <c r="H14" s="20">
        <f>32372+18433+16937+3895-80</f>
        <v>71557</v>
      </c>
      <c r="I14" s="20">
        <f t="shared" si="3"/>
        <v>0</v>
      </c>
      <c r="J14" s="20">
        <f t="shared" si="3"/>
        <v>1396</v>
      </c>
      <c r="K14" s="20">
        <f t="shared" si="3"/>
        <v>0</v>
      </c>
      <c r="L14" s="20">
        <f t="shared" si="3"/>
        <v>3931</v>
      </c>
    </row>
    <row r="15" spans="1:14" hidden="1" x14ac:dyDescent="0.25"/>
    <row r="16" spans="1:14" hidden="1" x14ac:dyDescent="0.25"/>
    <row r="17" spans="5:5" hidden="1" x14ac:dyDescent="0.25">
      <c r="E17" s="20">
        <f>SUM(D14:H14)</f>
        <v>335418</v>
      </c>
    </row>
  </sheetData>
  <mergeCells count="4">
    <mergeCell ref="A2:L2"/>
    <mergeCell ref="A4:A5"/>
    <mergeCell ref="B4:B5"/>
    <mergeCell ref="C4:L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F32"/>
  <sheetViews>
    <sheetView workbookViewId="0">
      <selection activeCell="I20" sqref="I20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5" width="9.140625" style="2"/>
    <col min="6" max="6" width="0" style="2" hidden="1" customWidth="1"/>
    <col min="7" max="16384" width="9.140625" style="2"/>
  </cols>
  <sheetData>
    <row r="1" spans="1:4" ht="3" customHeight="1" x14ac:dyDescent="0.25"/>
    <row r="2" spans="1:4" ht="83.25" customHeight="1" x14ac:dyDescent="0.3">
      <c r="A2" s="29" t="s">
        <v>62</v>
      </c>
      <c r="B2" s="29"/>
      <c r="C2" s="29"/>
      <c r="D2" s="29"/>
    </row>
    <row r="4" spans="1:4" x14ac:dyDescent="0.25">
      <c r="B4" s="5" t="s">
        <v>34</v>
      </c>
    </row>
    <row r="6" spans="1:4" ht="43.9" customHeight="1" x14ac:dyDescent="0.25">
      <c r="A6" s="16" t="s">
        <v>13</v>
      </c>
      <c r="B6" s="17" t="s">
        <v>14</v>
      </c>
      <c r="C6" s="16" t="s">
        <v>15</v>
      </c>
      <c r="D6" s="17" t="s">
        <v>48</v>
      </c>
    </row>
    <row r="7" spans="1:4" x14ac:dyDescent="0.25">
      <c r="A7" s="10">
        <v>1</v>
      </c>
      <c r="B7" s="11" t="s">
        <v>16</v>
      </c>
      <c r="C7" s="11" t="s">
        <v>21</v>
      </c>
      <c r="D7" s="18">
        <f>'Д и Р по бюджету 2019'!D7*1.05</f>
        <v>311351.25</v>
      </c>
    </row>
    <row r="8" spans="1:4" x14ac:dyDescent="0.25">
      <c r="A8" s="10" t="s">
        <v>4</v>
      </c>
      <c r="B8" s="11" t="s">
        <v>17</v>
      </c>
      <c r="C8" s="11" t="s">
        <v>21</v>
      </c>
      <c r="D8" s="18">
        <f>'Д и Р по бюджету 2019'!D8*1.05</f>
        <v>102548.25</v>
      </c>
    </row>
    <row r="9" spans="1:4" x14ac:dyDescent="0.25">
      <c r="A9" s="10" t="s">
        <v>5</v>
      </c>
      <c r="B9" s="11" t="s">
        <v>18</v>
      </c>
      <c r="C9" s="11" t="s">
        <v>21</v>
      </c>
      <c r="D9" s="18">
        <f>'Д и Р по бюджету 2019'!D9*1.05</f>
        <v>41923.35</v>
      </c>
    </row>
    <row r="10" spans="1:4" x14ac:dyDescent="0.25">
      <c r="A10" s="10" t="s">
        <v>6</v>
      </c>
      <c r="B10" s="11" t="s">
        <v>19</v>
      </c>
      <c r="C10" s="11" t="s">
        <v>21</v>
      </c>
      <c r="D10" s="18">
        <f>'Д и Р по бюджету 2019'!D10*1.05</f>
        <v>22963.5</v>
      </c>
    </row>
    <row r="11" spans="1:4" x14ac:dyDescent="0.25">
      <c r="A11" s="10" t="s">
        <v>7</v>
      </c>
      <c r="B11" s="11" t="s">
        <v>20</v>
      </c>
      <c r="C11" s="11" t="s">
        <v>21</v>
      </c>
      <c r="D11" s="18">
        <f>'Д и Р по бюджету 2019'!D11*1.05</f>
        <v>21418.95</v>
      </c>
    </row>
    <row r="12" spans="1:4" ht="27" customHeight="1" x14ac:dyDescent="0.25">
      <c r="A12" s="10">
        <v>2</v>
      </c>
      <c r="B12" s="12" t="s">
        <v>35</v>
      </c>
      <c r="C12" s="11" t="s">
        <v>21</v>
      </c>
      <c r="D12" s="18">
        <f>'Д и Р по бюджету 2019'!D12*1.05</f>
        <v>352188.9</v>
      </c>
    </row>
    <row r="13" spans="1:4" x14ac:dyDescent="0.25">
      <c r="A13" s="10" t="s">
        <v>8</v>
      </c>
      <c r="B13" s="11" t="s">
        <v>17</v>
      </c>
      <c r="C13" s="11" t="s">
        <v>21</v>
      </c>
      <c r="D13" s="18">
        <f>'Д и Р по бюджету 2019'!D13*1.05</f>
        <v>126788.004</v>
      </c>
    </row>
    <row r="14" spans="1:4" x14ac:dyDescent="0.25">
      <c r="A14" s="10" t="s">
        <v>9</v>
      </c>
      <c r="B14" s="11" t="s">
        <v>18</v>
      </c>
      <c r="C14" s="11" t="s">
        <v>21</v>
      </c>
      <c r="D14" s="18">
        <f>'Д и Р по бюджету 2019'!D14*1.05</f>
        <v>52828.334999999999</v>
      </c>
    </row>
    <row r="15" spans="1:4" x14ac:dyDescent="0.25">
      <c r="A15" s="10" t="s">
        <v>10</v>
      </c>
      <c r="B15" s="11" t="s">
        <v>46</v>
      </c>
      <c r="C15" s="11" t="s">
        <v>21</v>
      </c>
      <c r="D15" s="18">
        <f>'Д и Р по бюджету 2019'!D15*1.05</f>
        <v>17609.445000000003</v>
      </c>
    </row>
    <row r="16" spans="1:4" x14ac:dyDescent="0.25">
      <c r="A16" s="10" t="s">
        <v>11</v>
      </c>
      <c r="B16" s="11" t="s">
        <v>20</v>
      </c>
      <c r="C16" s="11" t="s">
        <v>21</v>
      </c>
      <c r="D16" s="18">
        <f>'Д и Р по бюджету 2019'!D16*1.05</f>
        <v>21131.333999999999</v>
      </c>
    </row>
    <row r="17" spans="1:6" x14ac:dyDescent="0.25">
      <c r="A17" s="10">
        <v>3</v>
      </c>
      <c r="B17" s="11" t="s">
        <v>22</v>
      </c>
      <c r="C17" s="11" t="s">
        <v>21</v>
      </c>
      <c r="D17" s="18">
        <f>'Д и Р по бюджету 2019'!D17*1.05</f>
        <v>-40837.65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f>'Д и Р по бюджету 2019'!D18*1.05</f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f>'Д и Р по бюджету 2019'!D19*1.05</f>
        <v>0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f>'Д и Р по бюджету 2019'!D20*1.05</f>
        <v>1465.8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f>'Д и Р по бюджету 2019'!D21*1.05</f>
        <v>47664.75</v>
      </c>
      <c r="E21" s="21"/>
    </row>
    <row r="22" spans="1:6" x14ac:dyDescent="0.25">
      <c r="A22" s="10">
        <v>8</v>
      </c>
      <c r="B22" s="11" t="s">
        <v>3</v>
      </c>
      <c r="C22" s="11" t="s">
        <v>21</v>
      </c>
      <c r="D22" s="18">
        <f>'Д и Р по бюджету 2019'!D22*1.05</f>
        <v>4127.55</v>
      </c>
    </row>
    <row r="23" spans="1:6" x14ac:dyDescent="0.25">
      <c r="A23" s="10">
        <v>9</v>
      </c>
      <c r="B23" s="11" t="s">
        <v>27</v>
      </c>
      <c r="C23" s="11" t="s">
        <v>21</v>
      </c>
      <c r="D23" s="18">
        <f>'Д и Р по бюджету 2019'!D23*1.05</f>
        <v>1233.75</v>
      </c>
      <c r="F23" s="20">
        <f>D12+D20+D22</f>
        <v>357782.25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f>'Д и Р по бюджету 2019'!D24*1.05</f>
        <v>0</v>
      </c>
    </row>
    <row r="25" spans="1:6" x14ac:dyDescent="0.25">
      <c r="A25" s="10" t="s">
        <v>12</v>
      </c>
      <c r="B25" s="11" t="s">
        <v>29</v>
      </c>
      <c r="C25" s="11" t="s">
        <v>21</v>
      </c>
      <c r="D25" s="18">
        <f>'Д и Р по бюджету 2019'!D25*1.05</f>
        <v>0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f>'Д и Р по бюджету 2019'!D26*1.05</f>
        <v>0</v>
      </c>
    </row>
    <row r="27" spans="1:6" x14ac:dyDescent="0.25">
      <c r="A27" s="10">
        <v>12</v>
      </c>
      <c r="B27" s="11" t="s">
        <v>31</v>
      </c>
      <c r="C27" s="11" t="s">
        <v>21</v>
      </c>
      <c r="D27" s="18">
        <f>'Д и Р по бюджету 2019'!D27</f>
        <v>235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f>'Д и Р по бюджету 2019'!D28*1.05</f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f>D23-D27</f>
        <v>998.75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30"/>
      <c r="B32" s="30"/>
      <c r="C32" s="30"/>
      <c r="D32" s="30"/>
    </row>
  </sheetData>
  <mergeCells count="2">
    <mergeCell ref="A2:D2"/>
    <mergeCell ref="A32:D3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2:N16"/>
  <sheetViews>
    <sheetView workbookViewId="0">
      <selection activeCell="I23" sqref="I23"/>
    </sheetView>
  </sheetViews>
  <sheetFormatPr defaultColWidth="9.140625" defaultRowHeight="15" x14ac:dyDescent="0.25"/>
  <cols>
    <col min="1" max="1" width="23.4257812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35" t="s">
        <v>57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4" spans="1:14" ht="15" customHeight="1" x14ac:dyDescent="0.25">
      <c r="A4" s="31" t="s">
        <v>0</v>
      </c>
      <c r="B4" s="31" t="s">
        <v>1</v>
      </c>
      <c r="C4" s="32" t="s">
        <v>36</v>
      </c>
      <c r="D4" s="33"/>
      <c r="E4" s="33"/>
      <c r="F4" s="33"/>
      <c r="G4" s="33"/>
      <c r="H4" s="33"/>
      <c r="I4" s="33"/>
      <c r="J4" s="33"/>
      <c r="K4" s="33"/>
      <c r="L4" s="34"/>
    </row>
    <row r="5" spans="1:14" ht="98.25" customHeight="1" x14ac:dyDescent="0.25">
      <c r="A5" s="31"/>
      <c r="B5" s="31"/>
      <c r="C5" s="4" t="s">
        <v>37</v>
      </c>
      <c r="D5" s="4" t="s">
        <v>44</v>
      </c>
      <c r="E5" s="4" t="s">
        <v>38</v>
      </c>
      <c r="F5" s="4" t="s">
        <v>45</v>
      </c>
      <c r="G5" s="4" t="s">
        <v>39</v>
      </c>
      <c r="H5" s="4" t="s">
        <v>40</v>
      </c>
      <c r="I5" s="4" t="s">
        <v>41</v>
      </c>
      <c r="J5" s="4" t="s">
        <v>2</v>
      </c>
      <c r="K5" s="4" t="s">
        <v>42</v>
      </c>
      <c r="L5" s="4" t="s">
        <v>43</v>
      </c>
      <c r="M5" s="7"/>
      <c r="N5" s="7"/>
    </row>
    <row r="6" spans="1:14" ht="26.25" customHeight="1" x14ac:dyDescent="0.25">
      <c r="A6" s="24" t="s">
        <v>49</v>
      </c>
      <c r="B6" s="25">
        <f>SUM(B7:B10)</f>
        <v>200203.5</v>
      </c>
      <c r="C6" s="25"/>
      <c r="D6" s="25">
        <f>D7+D8+D9+D10</f>
        <v>36436.059450000001</v>
      </c>
      <c r="E6" s="25">
        <f t="shared" ref="E6:H6" si="0">E7+E8+E9+E10</f>
        <v>94731.021000000008</v>
      </c>
      <c r="F6" s="25">
        <f t="shared" si="0"/>
        <v>28836.122792400001</v>
      </c>
      <c r="G6" s="25">
        <f t="shared" si="0"/>
        <v>2013.8790000000004</v>
      </c>
      <c r="H6" s="25">
        <f t="shared" si="0"/>
        <v>38186.417757599986</v>
      </c>
      <c r="I6" s="25"/>
      <c r="J6" s="25"/>
      <c r="K6" s="25"/>
      <c r="L6" s="25"/>
      <c r="M6" s="7"/>
      <c r="N6" s="7"/>
    </row>
    <row r="7" spans="1:14" ht="39" x14ac:dyDescent="0.25">
      <c r="A7" s="1" t="s">
        <v>50</v>
      </c>
      <c r="B7" s="19">
        <f>110711*1.05</f>
        <v>116246.55</v>
      </c>
      <c r="C7" s="19"/>
      <c r="D7" s="19">
        <f>(D14*40%)*1.05</f>
        <v>23892.498000000003</v>
      </c>
      <c r="E7" s="19">
        <f>E14*34%</f>
        <v>48800.829000000005</v>
      </c>
      <c r="F7" s="19">
        <f>E7*30.44%</f>
        <v>14854.972347600002</v>
      </c>
      <c r="G7" s="19">
        <f>G14*23%</f>
        <v>1129.7370000000001</v>
      </c>
      <c r="H7" s="19">
        <f>B7-D7-E7-F7-G7</f>
        <v>27568.51365239999</v>
      </c>
      <c r="I7" s="19"/>
      <c r="J7" s="19"/>
      <c r="K7" s="19"/>
      <c r="L7" s="19"/>
      <c r="M7" s="7"/>
      <c r="N7" s="7"/>
    </row>
    <row r="8" spans="1:14" ht="26.25" x14ac:dyDescent="0.25">
      <c r="A8" s="1" t="s">
        <v>51</v>
      </c>
      <c r="B8" s="19">
        <f>46130*1.05</f>
        <v>48436.5</v>
      </c>
      <c r="C8" s="19"/>
      <c r="D8" s="19">
        <f>(D14*8%)*1.05</f>
        <v>4778.4996000000001</v>
      </c>
      <c r="E8" s="19">
        <f>E14*20%</f>
        <v>28706.370000000003</v>
      </c>
      <c r="F8" s="19">
        <f t="shared" ref="F8:F11" si="1">E8*30.44%</f>
        <v>8738.2190280000013</v>
      </c>
      <c r="G8" s="19">
        <f>G14*11%</f>
        <v>540.30900000000008</v>
      </c>
      <c r="H8" s="19">
        <f t="shared" ref="H8:H10" si="2">B8-D8-E8-F8-G8</f>
        <v>5673.102371999993</v>
      </c>
      <c r="I8" s="19"/>
      <c r="J8" s="19"/>
      <c r="K8" s="19"/>
      <c r="L8" s="19"/>
      <c r="M8" s="7"/>
      <c r="N8" s="7"/>
    </row>
    <row r="9" spans="1:14" ht="39" x14ac:dyDescent="0.25">
      <c r="A9" s="1" t="s">
        <v>52</v>
      </c>
      <c r="B9" s="19">
        <f>15377*1.05</f>
        <v>16145.85</v>
      </c>
      <c r="C9" s="19"/>
      <c r="D9" s="19">
        <f>(D14*2%)*1.05</f>
        <v>1194.6249</v>
      </c>
      <c r="E9" s="19">
        <f>E14*6%</f>
        <v>8611.9110000000001</v>
      </c>
      <c r="F9" s="19">
        <f t="shared" si="1"/>
        <v>2621.4657084</v>
      </c>
      <c r="G9" s="19">
        <f>G14*2%</f>
        <v>98.238000000000014</v>
      </c>
      <c r="H9" s="19">
        <f t="shared" si="2"/>
        <v>3619.6103915999997</v>
      </c>
      <c r="I9" s="19"/>
      <c r="J9" s="19"/>
      <c r="K9" s="19"/>
      <c r="L9" s="19"/>
      <c r="M9" s="7"/>
      <c r="N9" s="7"/>
    </row>
    <row r="10" spans="1:14" ht="26.25" x14ac:dyDescent="0.25">
      <c r="A10" s="1" t="s">
        <v>53</v>
      </c>
      <c r="B10" s="19">
        <f>18452*1.05</f>
        <v>19374.600000000002</v>
      </c>
      <c r="C10" s="19"/>
      <c r="D10" s="19">
        <f>(D14*11%)*1.05</f>
        <v>6570.4369500000003</v>
      </c>
      <c r="E10" s="19">
        <f>E14*6%</f>
        <v>8611.9110000000001</v>
      </c>
      <c r="F10" s="19">
        <f t="shared" si="1"/>
        <v>2621.4657084</v>
      </c>
      <c r="G10" s="19">
        <f>G14*5%</f>
        <v>245.59500000000003</v>
      </c>
      <c r="H10" s="19">
        <f t="shared" si="2"/>
        <v>1325.1913416000027</v>
      </c>
      <c r="I10" s="19"/>
      <c r="J10" s="19"/>
      <c r="K10" s="19"/>
      <c r="L10" s="19"/>
      <c r="M10" s="7"/>
      <c r="N10" s="7"/>
    </row>
    <row r="11" spans="1:14" ht="26.25" x14ac:dyDescent="0.25">
      <c r="A11" s="24" t="s">
        <v>54</v>
      </c>
      <c r="B11" s="25">
        <f>322907-B6</f>
        <v>122703.5</v>
      </c>
      <c r="C11" s="25"/>
      <c r="D11" s="25">
        <f>(D14*39%)*1.05</f>
        <v>23295.185550000002</v>
      </c>
      <c r="E11" s="25">
        <f>E14*34%</f>
        <v>48800.829000000005</v>
      </c>
      <c r="F11" s="25">
        <f t="shared" si="1"/>
        <v>14854.972347600002</v>
      </c>
      <c r="G11" s="25">
        <f>G14*59%</f>
        <v>2898.0210000000002</v>
      </c>
      <c r="H11" s="25">
        <f>B11-D11-E11-F11-G11-418</f>
        <v>32436.4921024</v>
      </c>
      <c r="I11" s="25"/>
      <c r="J11" s="25"/>
      <c r="K11" s="25"/>
      <c r="L11" s="25"/>
      <c r="M11" s="7"/>
      <c r="N11" s="7"/>
    </row>
    <row r="12" spans="1:14" x14ac:dyDescent="0.25">
      <c r="A12" s="24" t="s">
        <v>55</v>
      </c>
      <c r="B12" s="25">
        <f>'доходы и расх прогноз 2020'!D20+'доходы и расх прогноз 2020'!D22</f>
        <v>5593.35</v>
      </c>
      <c r="C12" s="25"/>
      <c r="D12" s="25"/>
      <c r="E12" s="25"/>
      <c r="F12" s="25"/>
      <c r="G12" s="25"/>
      <c r="H12" s="25"/>
      <c r="I12" s="25"/>
      <c r="J12" s="25">
        <f>'доходы и расх прогноз 2020'!D20</f>
        <v>1465.8</v>
      </c>
      <c r="K12" s="25"/>
      <c r="L12" s="25">
        <f>'доходы и расх прогноз 2020'!D22</f>
        <v>4127.55</v>
      </c>
      <c r="M12" s="7"/>
      <c r="N12" s="7"/>
    </row>
    <row r="13" spans="1:14" hidden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idden="1" x14ac:dyDescent="0.25">
      <c r="A14" s="7"/>
      <c r="B14" s="28">
        <f>B6+B11+B12</f>
        <v>328500.34999999998</v>
      </c>
      <c r="C14" s="7">
        <f t="shared" ref="C14:L14" si="3">C6+C11+C12</f>
        <v>0</v>
      </c>
      <c r="D14" s="7">
        <f>(39808+14370)*1.05</f>
        <v>56886.9</v>
      </c>
      <c r="E14" s="7">
        <f>136697*1.05</f>
        <v>143531.85</v>
      </c>
      <c r="F14" s="7">
        <f>41611*1.05</f>
        <v>43691.55</v>
      </c>
      <c r="G14" s="7">
        <f>4678*1.05</f>
        <v>4911.9000000000005</v>
      </c>
      <c r="H14" s="7">
        <f>(12967+13777+8000+36021)*1.05-418</f>
        <v>73885.25</v>
      </c>
      <c r="I14" s="7">
        <f t="shared" si="3"/>
        <v>0</v>
      </c>
      <c r="J14" s="7">
        <f t="shared" si="3"/>
        <v>1465.8</v>
      </c>
      <c r="K14" s="7">
        <f t="shared" si="3"/>
        <v>0</v>
      </c>
      <c r="L14" s="7">
        <f t="shared" si="3"/>
        <v>4127.55</v>
      </c>
      <c r="M14" s="7"/>
      <c r="N14" s="7"/>
    </row>
    <row r="15" spans="1:14" x14ac:dyDescent="0.25">
      <c r="B15" s="20"/>
    </row>
    <row r="16" spans="1:14" x14ac:dyDescent="0.25">
      <c r="K16" s="20"/>
    </row>
  </sheetData>
  <mergeCells count="4">
    <mergeCell ref="A2:L2"/>
    <mergeCell ref="A4:A5"/>
    <mergeCell ref="B4:B5"/>
    <mergeCell ref="C4:L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F32"/>
  <sheetViews>
    <sheetView workbookViewId="0">
      <selection activeCell="K22" sqref="K22"/>
    </sheetView>
  </sheetViews>
  <sheetFormatPr defaultColWidth="9.140625" defaultRowHeight="15" x14ac:dyDescent="0.25"/>
  <cols>
    <col min="1" max="1" width="9.140625" style="2"/>
    <col min="2" max="2" width="54.5703125" style="2" bestFit="1" customWidth="1"/>
    <col min="3" max="3" width="9.140625" style="2"/>
    <col min="4" max="4" width="12.140625" style="2" customWidth="1"/>
    <col min="5" max="5" width="9.140625" style="2"/>
    <col min="6" max="6" width="0" style="2" hidden="1" customWidth="1"/>
    <col min="7" max="16384" width="9.140625" style="2"/>
  </cols>
  <sheetData>
    <row r="1" spans="1:4" ht="3" customHeight="1" x14ac:dyDescent="0.25"/>
    <row r="2" spans="1:4" ht="95.25" customHeight="1" x14ac:dyDescent="0.3">
      <c r="A2" s="29" t="s">
        <v>63</v>
      </c>
      <c r="B2" s="29"/>
      <c r="C2" s="29"/>
      <c r="D2" s="29"/>
    </row>
    <row r="4" spans="1:4" x14ac:dyDescent="0.25">
      <c r="B4" s="5" t="s">
        <v>34</v>
      </c>
    </row>
    <row r="6" spans="1:4" ht="43.9" customHeight="1" x14ac:dyDescent="0.25">
      <c r="A6" s="16" t="s">
        <v>13</v>
      </c>
      <c r="B6" s="17" t="s">
        <v>14</v>
      </c>
      <c r="C6" s="16" t="s">
        <v>15</v>
      </c>
      <c r="D6" s="17" t="s">
        <v>64</v>
      </c>
    </row>
    <row r="7" spans="1:4" x14ac:dyDescent="0.25">
      <c r="A7" s="10">
        <v>1</v>
      </c>
      <c r="B7" s="11" t="s">
        <v>16</v>
      </c>
      <c r="C7" s="11" t="s">
        <v>21</v>
      </c>
      <c r="D7" s="18">
        <f>'доходы и расх прогноз 2020'!D7*1.05</f>
        <v>326918.8125</v>
      </c>
    </row>
    <row r="8" spans="1:4" x14ac:dyDescent="0.25">
      <c r="A8" s="10" t="s">
        <v>4</v>
      </c>
      <c r="B8" s="11" t="s">
        <v>17</v>
      </c>
      <c r="C8" s="11" t="s">
        <v>21</v>
      </c>
      <c r="D8" s="18">
        <f>'доходы и расх прогноз 2020'!D8*1.05</f>
        <v>107675.66250000001</v>
      </c>
    </row>
    <row r="9" spans="1:4" x14ac:dyDescent="0.25">
      <c r="A9" s="10" t="s">
        <v>5</v>
      </c>
      <c r="B9" s="11" t="s">
        <v>18</v>
      </c>
      <c r="C9" s="11" t="s">
        <v>21</v>
      </c>
      <c r="D9" s="18">
        <f>'доходы и расх прогноз 2020'!D9*1.05</f>
        <v>44019.517500000002</v>
      </c>
    </row>
    <row r="10" spans="1:4" x14ac:dyDescent="0.25">
      <c r="A10" s="10" t="s">
        <v>6</v>
      </c>
      <c r="B10" s="11" t="s">
        <v>19</v>
      </c>
      <c r="C10" s="11" t="s">
        <v>21</v>
      </c>
      <c r="D10" s="18">
        <f>'доходы и расх прогноз 2020'!D10*1.05</f>
        <v>24111.674999999999</v>
      </c>
    </row>
    <row r="11" spans="1:4" x14ac:dyDescent="0.25">
      <c r="A11" s="10" t="s">
        <v>7</v>
      </c>
      <c r="B11" s="11" t="s">
        <v>20</v>
      </c>
      <c r="C11" s="11" t="s">
        <v>21</v>
      </c>
      <c r="D11" s="18">
        <f>'доходы и расх прогноз 2020'!D11*1.05</f>
        <v>22489.897500000003</v>
      </c>
    </row>
    <row r="12" spans="1:4" ht="27" customHeight="1" x14ac:dyDescent="0.25">
      <c r="A12" s="10">
        <v>2</v>
      </c>
      <c r="B12" s="12" t="s">
        <v>35</v>
      </c>
      <c r="C12" s="11" t="s">
        <v>21</v>
      </c>
      <c r="D12" s="18">
        <f>'доходы и расх прогноз 2020'!D12*1.05</f>
        <v>369798.34500000003</v>
      </c>
    </row>
    <row r="13" spans="1:4" x14ac:dyDescent="0.25">
      <c r="A13" s="10" t="s">
        <v>8</v>
      </c>
      <c r="B13" s="11" t="s">
        <v>17</v>
      </c>
      <c r="C13" s="11" t="s">
        <v>21</v>
      </c>
      <c r="D13" s="18">
        <f>'доходы и расх прогноз 2020'!D13*1.05</f>
        <v>133127.40420000002</v>
      </c>
    </row>
    <row r="14" spans="1:4" x14ac:dyDescent="0.25">
      <c r="A14" s="10" t="s">
        <v>9</v>
      </c>
      <c r="B14" s="11" t="s">
        <v>18</v>
      </c>
      <c r="C14" s="11" t="s">
        <v>21</v>
      </c>
      <c r="D14" s="18">
        <f>'доходы и расх прогноз 2020'!D14*1.05</f>
        <v>55469.751750000003</v>
      </c>
    </row>
    <row r="15" spans="1:4" x14ac:dyDescent="0.25">
      <c r="A15" s="10" t="s">
        <v>10</v>
      </c>
      <c r="B15" s="11" t="s">
        <v>46</v>
      </c>
      <c r="C15" s="11" t="s">
        <v>21</v>
      </c>
      <c r="D15" s="18">
        <f>'доходы и расх прогноз 2020'!D15*1.05</f>
        <v>18489.917250000006</v>
      </c>
    </row>
    <row r="16" spans="1:4" x14ac:dyDescent="0.25">
      <c r="A16" s="10" t="s">
        <v>11</v>
      </c>
      <c r="B16" s="11" t="s">
        <v>20</v>
      </c>
      <c r="C16" s="11" t="s">
        <v>21</v>
      </c>
      <c r="D16" s="18">
        <f>'доходы и расх прогноз 2020'!D16*1.05</f>
        <v>22187.900699999998</v>
      </c>
    </row>
    <row r="17" spans="1:6" x14ac:dyDescent="0.25">
      <c r="A17" s="10">
        <v>3</v>
      </c>
      <c r="B17" s="11" t="s">
        <v>22</v>
      </c>
      <c r="C17" s="11" t="s">
        <v>21</v>
      </c>
      <c r="D17" s="18">
        <f>'доходы и расх прогноз 2020'!D17*1.05</f>
        <v>-42879.532500000001</v>
      </c>
    </row>
    <row r="18" spans="1:6" x14ac:dyDescent="0.25">
      <c r="A18" s="10">
        <v>4</v>
      </c>
      <c r="B18" s="11" t="s">
        <v>23</v>
      </c>
      <c r="C18" s="11" t="s">
        <v>21</v>
      </c>
      <c r="D18" s="18">
        <f>'доходы и расх прогноз 2020'!D18*1.05</f>
        <v>0</v>
      </c>
    </row>
    <row r="19" spans="1:6" x14ac:dyDescent="0.25">
      <c r="A19" s="10">
        <v>5</v>
      </c>
      <c r="B19" s="11" t="s">
        <v>24</v>
      </c>
      <c r="C19" s="11" t="s">
        <v>21</v>
      </c>
      <c r="D19" s="18">
        <f>'доходы и расх прогноз 2020'!D19*1.05</f>
        <v>0</v>
      </c>
    </row>
    <row r="20" spans="1:6" x14ac:dyDescent="0.25">
      <c r="A20" s="10">
        <v>6</v>
      </c>
      <c r="B20" s="11" t="s">
        <v>25</v>
      </c>
      <c r="C20" s="11" t="s">
        <v>21</v>
      </c>
      <c r="D20" s="18">
        <f>'доходы и расх прогноз 2020'!D20*1.05</f>
        <v>1539.09</v>
      </c>
    </row>
    <row r="21" spans="1:6" x14ac:dyDescent="0.25">
      <c r="A21" s="10">
        <v>7</v>
      </c>
      <c r="B21" s="11" t="s">
        <v>26</v>
      </c>
      <c r="C21" s="11" t="s">
        <v>21</v>
      </c>
      <c r="D21" s="18">
        <f>'доходы и расх прогноз 2020'!D21*1.05</f>
        <v>50047.987500000003</v>
      </c>
      <c r="E21" s="21"/>
      <c r="F21" s="20">
        <f>D12+D20+D22</f>
        <v>375671.36250000005</v>
      </c>
    </row>
    <row r="22" spans="1:6" x14ac:dyDescent="0.25">
      <c r="A22" s="10">
        <v>8</v>
      </c>
      <c r="B22" s="11" t="s">
        <v>3</v>
      </c>
      <c r="C22" s="11" t="s">
        <v>21</v>
      </c>
      <c r="D22" s="18">
        <f>'доходы и расх прогноз 2020'!D22*1.05</f>
        <v>4333.9275000000007</v>
      </c>
    </row>
    <row r="23" spans="1:6" x14ac:dyDescent="0.25">
      <c r="A23" s="10">
        <v>9</v>
      </c>
      <c r="B23" s="11" t="s">
        <v>27</v>
      </c>
      <c r="C23" s="11" t="s">
        <v>21</v>
      </c>
      <c r="D23" s="18">
        <f>'доходы и расх прогноз 2020'!D23*1.05</f>
        <v>1295.4375</v>
      </c>
    </row>
    <row r="24" spans="1:6" x14ac:dyDescent="0.25">
      <c r="A24" s="10">
        <v>10</v>
      </c>
      <c r="B24" s="11" t="s">
        <v>28</v>
      </c>
      <c r="C24" s="11" t="s">
        <v>21</v>
      </c>
      <c r="D24" s="18">
        <f>'доходы и расх прогноз 2020'!D24*1.05</f>
        <v>0</v>
      </c>
    </row>
    <row r="25" spans="1:6" x14ac:dyDescent="0.25">
      <c r="A25" s="10" t="s">
        <v>12</v>
      </c>
      <c r="B25" s="11" t="s">
        <v>29</v>
      </c>
      <c r="C25" s="11" t="s">
        <v>21</v>
      </c>
      <c r="D25" s="18">
        <f>'доходы и расх прогноз 2020'!D25*1.05</f>
        <v>0</v>
      </c>
    </row>
    <row r="26" spans="1:6" x14ac:dyDescent="0.25">
      <c r="A26" s="10">
        <v>11</v>
      </c>
      <c r="B26" s="11" t="s">
        <v>30</v>
      </c>
      <c r="C26" s="11" t="s">
        <v>21</v>
      </c>
      <c r="D26" s="18">
        <f>'доходы и расх прогноз 2020'!D26*1.05</f>
        <v>0</v>
      </c>
    </row>
    <row r="27" spans="1:6" x14ac:dyDescent="0.25">
      <c r="A27" s="10">
        <v>12</v>
      </c>
      <c r="B27" s="11" t="s">
        <v>31</v>
      </c>
      <c r="C27" s="11" t="s">
        <v>21</v>
      </c>
      <c r="D27" s="18">
        <f>'доходы и расх прогноз 2020'!D27*1.05</f>
        <v>246.75</v>
      </c>
    </row>
    <row r="28" spans="1:6" x14ac:dyDescent="0.25">
      <c r="A28" s="10">
        <v>13</v>
      </c>
      <c r="B28" s="11" t="s">
        <v>32</v>
      </c>
      <c r="C28" s="11" t="s">
        <v>21</v>
      </c>
      <c r="D28" s="18">
        <f>'доходы и расх прогноз 2020'!D28*1.05</f>
        <v>0</v>
      </c>
    </row>
    <row r="29" spans="1:6" x14ac:dyDescent="0.25">
      <c r="A29" s="10">
        <v>14</v>
      </c>
      <c r="B29" s="11" t="s">
        <v>33</v>
      </c>
      <c r="C29" s="11" t="s">
        <v>21</v>
      </c>
      <c r="D29" s="18">
        <f>'доходы и расх прогноз 2020'!D29*1.05</f>
        <v>1048.6875</v>
      </c>
    </row>
    <row r="30" spans="1:6" x14ac:dyDescent="0.25">
      <c r="A30" s="13"/>
      <c r="B30" s="13"/>
      <c r="C30" s="14"/>
      <c r="D30" s="15"/>
    </row>
    <row r="31" spans="1:6" x14ac:dyDescent="0.25">
      <c r="D31" s="6"/>
    </row>
    <row r="32" spans="1:6" x14ac:dyDescent="0.25">
      <c r="A32" s="30"/>
      <c r="B32" s="30"/>
      <c r="C32" s="30"/>
      <c r="D32" s="30"/>
    </row>
  </sheetData>
  <mergeCells count="2">
    <mergeCell ref="A2:D2"/>
    <mergeCell ref="A32:D3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2:N19"/>
  <sheetViews>
    <sheetView workbookViewId="0">
      <selection activeCell="K20" sqref="K20"/>
    </sheetView>
  </sheetViews>
  <sheetFormatPr defaultColWidth="9.140625" defaultRowHeight="15" x14ac:dyDescent="0.25"/>
  <cols>
    <col min="1" max="1" width="23.42578125" style="2" customWidth="1"/>
    <col min="2" max="2" width="9.140625" style="2"/>
    <col min="3" max="3" width="11.5703125" style="2" customWidth="1"/>
    <col min="4" max="4" width="10.140625" style="2" customWidth="1"/>
    <col min="5" max="5" width="8.85546875" style="2" customWidth="1"/>
    <col min="6" max="6" width="9" style="2" customWidth="1"/>
    <col min="7" max="8" width="11.5703125" style="2" customWidth="1"/>
    <col min="9" max="9" width="13.140625" style="2" customWidth="1"/>
    <col min="10" max="10" width="9.140625" style="2" customWidth="1"/>
    <col min="11" max="11" width="11.85546875" style="2" customWidth="1"/>
    <col min="12" max="16384" width="9.140625" style="2"/>
  </cols>
  <sheetData>
    <row r="2" spans="1:14" x14ac:dyDescent="0.25">
      <c r="A2" s="35" t="s">
        <v>65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4" spans="1:14" ht="15" customHeight="1" x14ac:dyDescent="0.25">
      <c r="A4" s="31" t="s">
        <v>0</v>
      </c>
      <c r="B4" s="31" t="s">
        <v>1</v>
      </c>
      <c r="C4" s="32" t="s">
        <v>36</v>
      </c>
      <c r="D4" s="33"/>
      <c r="E4" s="33"/>
      <c r="F4" s="33"/>
      <c r="G4" s="33"/>
      <c r="H4" s="33"/>
      <c r="I4" s="33"/>
      <c r="J4" s="33"/>
      <c r="K4" s="33"/>
      <c r="L4" s="34"/>
    </row>
    <row r="5" spans="1:14" ht="98.25" customHeight="1" x14ac:dyDescent="0.25">
      <c r="A5" s="31"/>
      <c r="B5" s="31"/>
      <c r="C5" s="9" t="s">
        <v>37</v>
      </c>
      <c r="D5" s="9" t="s">
        <v>44</v>
      </c>
      <c r="E5" s="9" t="s">
        <v>38</v>
      </c>
      <c r="F5" s="9" t="s">
        <v>45</v>
      </c>
      <c r="G5" s="9" t="s">
        <v>39</v>
      </c>
      <c r="H5" s="9" t="s">
        <v>40</v>
      </c>
      <c r="I5" s="9" t="s">
        <v>41</v>
      </c>
      <c r="J5" s="9" t="s">
        <v>2</v>
      </c>
      <c r="K5" s="9" t="s">
        <v>42</v>
      </c>
      <c r="L5" s="9" t="s">
        <v>43</v>
      </c>
      <c r="M5" s="8"/>
      <c r="N5" s="8"/>
    </row>
    <row r="6" spans="1:14" ht="26.25" customHeight="1" x14ac:dyDescent="0.25">
      <c r="A6" s="24" t="s">
        <v>49</v>
      </c>
      <c r="B6" s="25">
        <f>SUM(B7:B10)</f>
        <v>210213.67500000002</v>
      </c>
      <c r="C6" s="25"/>
      <c r="D6" s="25">
        <f>D7+D8+D9+D10</f>
        <v>40170.755543625004</v>
      </c>
      <c r="E6" s="25">
        <f t="shared" ref="E6:H6" si="0">E7+E8+E9+E10</f>
        <v>104440.9506525</v>
      </c>
      <c r="F6" s="25">
        <f t="shared" si="0"/>
        <v>31791.825378621004</v>
      </c>
      <c r="G6" s="25">
        <f t="shared" si="0"/>
        <v>2095.2397116000006</v>
      </c>
      <c r="H6" s="25">
        <f t="shared" si="0"/>
        <v>31714.903713653974</v>
      </c>
      <c r="I6" s="25"/>
      <c r="J6" s="25"/>
      <c r="K6" s="25"/>
      <c r="L6" s="25"/>
      <c r="M6" s="8"/>
      <c r="N6" s="8"/>
    </row>
    <row r="7" spans="1:14" ht="39" x14ac:dyDescent="0.25">
      <c r="A7" s="1" t="s">
        <v>50</v>
      </c>
      <c r="B7" s="19">
        <f>116246.55*1.05</f>
        <v>122058.8775</v>
      </c>
      <c r="C7" s="19"/>
      <c r="D7" s="19">
        <f>(D14*40%)*1.05*1.05</f>
        <v>26341.479045000007</v>
      </c>
      <c r="E7" s="19">
        <f>E14*34%*1.05</f>
        <v>53802.913972500006</v>
      </c>
      <c r="F7" s="19">
        <f>E7*30.44%</f>
        <v>16377.607013229002</v>
      </c>
      <c r="G7" s="19">
        <f>G14*23%*1.02</f>
        <v>1175.3783748000003</v>
      </c>
      <c r="H7" s="19">
        <f>B7-D7-E7-F7-G7</f>
        <v>24361.499094470979</v>
      </c>
      <c r="I7" s="19"/>
      <c r="J7" s="19"/>
      <c r="K7" s="19"/>
      <c r="L7" s="19"/>
      <c r="M7" s="8"/>
      <c r="N7" s="8"/>
    </row>
    <row r="8" spans="1:14" ht="26.25" x14ac:dyDescent="0.25">
      <c r="A8" s="1" t="s">
        <v>51</v>
      </c>
      <c r="B8" s="19">
        <f>48436.5*1.05</f>
        <v>50858.325000000004</v>
      </c>
      <c r="C8" s="19"/>
      <c r="D8" s="19">
        <f>(D14*8%)*1.05*1.05</f>
        <v>5268.2958090000002</v>
      </c>
      <c r="E8" s="19">
        <f>E14*20%*1.05</f>
        <v>31648.772925000005</v>
      </c>
      <c r="F8" s="19">
        <f t="shared" ref="F8:F11" si="1">E8*30.44%</f>
        <v>9633.886478370001</v>
      </c>
      <c r="G8" s="19">
        <f>G14*11%*1.02</f>
        <v>562.13748360000011</v>
      </c>
      <c r="H8" s="19">
        <f t="shared" ref="H8:H10" si="2">B8-D8-E8-F8-G8</f>
        <v>3745.2323040299957</v>
      </c>
      <c r="I8" s="19"/>
      <c r="J8" s="19"/>
      <c r="K8" s="19"/>
      <c r="L8" s="19"/>
      <c r="M8" s="8"/>
      <c r="N8" s="8"/>
    </row>
    <row r="9" spans="1:14" ht="39" x14ac:dyDescent="0.25">
      <c r="A9" s="1" t="s">
        <v>52</v>
      </c>
      <c r="B9" s="19">
        <f>16145.85*1.05</f>
        <v>16953.142500000002</v>
      </c>
      <c r="C9" s="19"/>
      <c r="D9" s="19">
        <f>(D14*2%)*1.05*1.05</f>
        <v>1317.07395225</v>
      </c>
      <c r="E9" s="19">
        <f>E14*6%*1.05</f>
        <v>9494.6318775</v>
      </c>
      <c r="F9" s="19">
        <f t="shared" si="1"/>
        <v>2890.165943511</v>
      </c>
      <c r="G9" s="19">
        <f>G14*2%*1.02</f>
        <v>102.20681520000001</v>
      </c>
      <c r="H9" s="19">
        <f t="shared" si="2"/>
        <v>3149.0639115390009</v>
      </c>
      <c r="I9" s="19"/>
      <c r="J9" s="19"/>
      <c r="K9" s="19"/>
      <c r="L9" s="19"/>
      <c r="M9" s="8"/>
      <c r="N9" s="8"/>
    </row>
    <row r="10" spans="1:14" ht="26.25" x14ac:dyDescent="0.25">
      <c r="A10" s="1" t="s">
        <v>53</v>
      </c>
      <c r="B10" s="19">
        <f>19374.6*1.05</f>
        <v>20343.329999999998</v>
      </c>
      <c r="C10" s="19"/>
      <c r="D10" s="19">
        <f>(D14*11%)*1.05*1.05</f>
        <v>7243.9067373750004</v>
      </c>
      <c r="E10" s="19">
        <f>E14*6%*1.05</f>
        <v>9494.6318775</v>
      </c>
      <c r="F10" s="19">
        <f t="shared" si="1"/>
        <v>2890.165943511</v>
      </c>
      <c r="G10" s="19">
        <f>G14*5%*1.02</f>
        <v>255.51703800000007</v>
      </c>
      <c r="H10" s="19">
        <f t="shared" si="2"/>
        <v>459.10840361399767</v>
      </c>
      <c r="I10" s="19"/>
      <c r="J10" s="19"/>
      <c r="K10" s="19"/>
      <c r="L10" s="19"/>
      <c r="M10" s="8"/>
      <c r="N10" s="8"/>
    </row>
    <row r="11" spans="1:14" ht="26.25" x14ac:dyDescent="0.25">
      <c r="A11" s="24" t="s">
        <v>54</v>
      </c>
      <c r="B11" s="25">
        <f>128592+494</f>
        <v>129086</v>
      </c>
      <c r="C11" s="25"/>
      <c r="D11" s="25">
        <f>(D14*39%)*1.05*1.05</f>
        <v>25682.942068875003</v>
      </c>
      <c r="E11" s="25">
        <f>E14*34%*1.05</f>
        <v>53802.913972500006</v>
      </c>
      <c r="F11" s="25">
        <f t="shared" si="1"/>
        <v>16377.607013229002</v>
      </c>
      <c r="G11" s="25">
        <f>G14*59%*1.02</f>
        <v>3015.1010484000008</v>
      </c>
      <c r="H11" s="25">
        <f>B11-D11-E11-F11-G11-248</f>
        <v>29959.435896995979</v>
      </c>
      <c r="I11" s="25"/>
      <c r="J11" s="25"/>
      <c r="K11" s="25"/>
      <c r="L11" s="25"/>
      <c r="M11" s="8"/>
      <c r="N11" s="8"/>
    </row>
    <row r="12" spans="1:14" x14ac:dyDescent="0.25">
      <c r="A12" s="24" t="s">
        <v>55</v>
      </c>
      <c r="B12" s="25">
        <f>'доходы и расх прогноз 2020'!D20+'доходы и расх прогноз 2020'!D22</f>
        <v>5593.35</v>
      </c>
      <c r="C12" s="25"/>
      <c r="D12" s="25"/>
      <c r="E12" s="25"/>
      <c r="F12" s="25"/>
      <c r="G12" s="25"/>
      <c r="H12" s="25"/>
      <c r="I12" s="25"/>
      <c r="J12" s="25">
        <f>'дох расх прогноз 2021'!D20</f>
        <v>1539.09</v>
      </c>
      <c r="K12" s="25"/>
      <c r="L12" s="25">
        <f>'дох расх прогноз 2021'!D22</f>
        <v>4333.9275000000007</v>
      </c>
      <c r="M12" s="8"/>
      <c r="N12" s="8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idden="1" x14ac:dyDescent="0.25">
      <c r="A14" s="8"/>
      <c r="B14" s="28">
        <f>B6+B11+B12</f>
        <v>344893.02500000002</v>
      </c>
      <c r="C14" s="28">
        <f t="shared" ref="C14:L14" si="3">C6+C11+C12</f>
        <v>0</v>
      </c>
      <c r="D14" s="28">
        <f>(39808+14370)*1.05*1.05</f>
        <v>59731.245000000003</v>
      </c>
      <c r="E14" s="28">
        <f>136697*1.05*1.05</f>
        <v>150708.4425</v>
      </c>
      <c r="F14" s="28">
        <f>41611*1.05</f>
        <v>43691.55</v>
      </c>
      <c r="G14" s="28">
        <f>4678*1.05*1.02</f>
        <v>5010.1380000000008</v>
      </c>
      <c r="H14" s="28">
        <f>(12967+13777+8000+36021)*1.05</f>
        <v>74303.25</v>
      </c>
      <c r="I14" s="28">
        <f t="shared" si="3"/>
        <v>0</v>
      </c>
      <c r="J14" s="28">
        <f t="shared" si="3"/>
        <v>1539.09</v>
      </c>
      <c r="K14" s="28">
        <f t="shared" si="3"/>
        <v>0</v>
      </c>
      <c r="L14" s="28">
        <f t="shared" si="3"/>
        <v>4333.9275000000007</v>
      </c>
      <c r="M14" s="8"/>
      <c r="N14" s="8"/>
    </row>
    <row r="15" spans="1:14" hidden="1" x14ac:dyDescent="0.25">
      <c r="B15" s="20"/>
      <c r="D15" s="20">
        <f>D6+D11+D12</f>
        <v>65853.697612500007</v>
      </c>
      <c r="E15" s="20">
        <f t="shared" ref="E15:L15" si="4">E6+E11+E12</f>
        <v>158243.86462500002</v>
      </c>
      <c r="F15" s="20">
        <f t="shared" si="4"/>
        <v>48169.432391850009</v>
      </c>
      <c r="G15" s="20">
        <f t="shared" si="4"/>
        <v>5110.340760000001</v>
      </c>
      <c r="H15" s="20">
        <f t="shared" si="4"/>
        <v>61674.339610649957</v>
      </c>
      <c r="I15" s="20">
        <f t="shared" si="4"/>
        <v>0</v>
      </c>
      <c r="J15" s="20">
        <f t="shared" si="4"/>
        <v>1539.09</v>
      </c>
      <c r="K15" s="20">
        <f t="shared" si="4"/>
        <v>0</v>
      </c>
      <c r="L15" s="20">
        <f t="shared" si="4"/>
        <v>4333.9275000000007</v>
      </c>
    </row>
    <row r="16" spans="1:14" x14ac:dyDescent="0.25">
      <c r="K16" s="20"/>
    </row>
    <row r="19" spans="2:2" x14ac:dyDescent="0.25">
      <c r="B19" s="27"/>
    </row>
  </sheetData>
  <mergeCells count="4">
    <mergeCell ref="A2:L2"/>
    <mergeCell ref="A4:A5"/>
    <mergeCell ref="B4:B5"/>
    <mergeCell ref="C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2018</vt:lpstr>
      <vt:lpstr>расходы 2018</vt:lpstr>
      <vt:lpstr>Д и Р по бюджету 2019</vt:lpstr>
      <vt:lpstr>расшиф расходов 2019</vt:lpstr>
      <vt:lpstr>доходы и расх прогноз 2020</vt:lpstr>
      <vt:lpstr>расш расходов прогноз 2020</vt:lpstr>
      <vt:lpstr>дох расх прогноз 2021</vt:lpstr>
      <vt:lpstr>расш расх прогноз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Кондратьев Игорь</dc:creator>
  <cp:lastModifiedBy>Серебренникова</cp:lastModifiedBy>
  <cp:lastPrinted>2018-04-05T06:57:34Z</cp:lastPrinted>
  <dcterms:created xsi:type="dcterms:W3CDTF">2014-04-15T07:47:11Z</dcterms:created>
  <dcterms:modified xsi:type="dcterms:W3CDTF">2019-04-11T06:34:28Z</dcterms:modified>
</cp:coreProperties>
</file>